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3.xml" ContentType="application/vnd.openxmlformats-officedocument.spreadsheetml.comments+xml"/>
  <Override PartName="/xl/drawings/drawing19.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6.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7.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8.xml" ContentType="application/vnd.openxmlformats-officedocument.spreadsheetml.comments+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_d\AppData\Roaming\Skype\My Skype Received Files\"/>
    </mc:Choice>
  </mc:AlternateContent>
  <bookViews>
    <workbookView xWindow="0" yWindow="0" windowWidth="21015" windowHeight="7725" tabRatio="821"/>
  </bookViews>
  <sheets>
    <sheet name="Содержание прайса" sheetId="1" r:id="rId1"/>
    <sheet name="Ликвидация и Акции" sheetId="261" r:id="rId2"/>
    <sheet name="Вся профилировка" sheetId="167" r:id="rId3"/>
    <sheet name="1_1_КРОВЛЯ" sheetId="132" r:id="rId4"/>
    <sheet name="1_2_Доборные элементы кровли" sheetId="168" r:id="rId5"/>
    <sheet name="1_3_ФАЛЬЦ" sheetId="133" r:id="rId6"/>
    <sheet name="1_4_Мягкая кровля" sheetId="266" r:id="rId7"/>
    <sheet name="1_5_Мягкая кровля 2" sheetId="176" r:id="rId8"/>
    <sheet name="1_6_Битумные материалы" sheetId="249" r:id="rId9"/>
    <sheet name="1_7_Композит черепица GL" sheetId="272" r:id="rId10"/>
    <sheet name="1_8_Композит черепица Decra" sheetId="273" r:id="rId11"/>
    <sheet name="1_9_Черепица Luxard" sheetId="274" r:id="rId12"/>
    <sheet name="1_10_Черепица Metrotile" sheetId="275" r:id="rId13"/>
    <sheet name="1_11_ЦПЧ и Керамика" sheetId="76" r:id="rId14"/>
    <sheet name="1_12_Водосток GL" sheetId="239" r:id="rId15"/>
    <sheet name="1_13_Водосток Optima" sheetId="244" r:id="rId16"/>
    <sheet name="1_14_Водосток ПВХ GL Standart" sheetId="241" r:id="rId17"/>
    <sheet name="1_15_ЭБК GL" sheetId="265" r:id="rId18"/>
    <sheet name="1_16_ЭБК Optima" sheetId="84" r:id="rId19"/>
    <sheet name="1_17_Vilpe" sheetId="216" r:id="rId20"/>
    <sheet name="1_18_Krovent и ТехноНиколь" sheetId="264" r:id="rId21"/>
    <sheet name="1_19_Проходки MasterFlash" sheetId="162" r:id="rId22"/>
    <sheet name="1_20_Дымоходы Ferrum" sheetId="246" r:id="rId23"/>
    <sheet name="1_21_Fakro" sheetId="277" r:id="rId24"/>
    <sheet name="1_22_VELUX OPTIMA" sheetId="218" r:id="rId25"/>
    <sheet name="1_23_VELUX PREMIUM" sheetId="219" r:id="rId26"/>
    <sheet name="1_24_Флюгеры" sheetId="26" r:id="rId27"/>
    <sheet name="1_25_Дымники и колпаки на заказ" sheetId="250" r:id="rId28"/>
    <sheet name="2_1_ЦИНК" sheetId="28" r:id="rId29"/>
    <sheet name="3_1_ФАСАД" sheetId="134" r:id="rId30"/>
    <sheet name="3_2_Доборные элементы Фасад" sheetId="169" r:id="rId31"/>
    <sheet name="3_3_Виниловый сайдинг" sheetId="213" r:id="rId32"/>
    <sheet name="3_4_Декор эл-ты Mid-America" sheetId="32" r:id="rId33"/>
    <sheet name="3_5_Фасадные панели GL" sheetId="276" r:id="rId34"/>
    <sheet name="3_6_Фасадные панели" sheetId="269" r:id="rId35"/>
    <sheet name="3_7_Фиброцементный сайдинг" sheetId="243" r:id="rId36"/>
    <sheet name="3_8_ГК-профиль" sheetId="253" r:id="rId37"/>
    <sheet name="3_9_Навесная фасадная система" sheetId="262" r:id="rId38"/>
    <sheet name="4_1_ЗАБОРЫ" sheetId="136" r:id="rId39"/>
    <sheet name="4_2_Панельные ограждения" sheetId="200" r:id="rId40"/>
    <sheet name="4_3_Эл-ты панельных ограждений" sheetId="230" r:id="rId41"/>
    <sheet name="4_4_Модульные ограждения GL" sheetId="202" r:id="rId42"/>
    <sheet name="4_5_Временные огр и Рулон сетка" sheetId="203" r:id="rId43"/>
    <sheet name="4_6_Откатные ворота и Шлагбаумы" sheetId="204" r:id="rId44"/>
    <sheet name="4_7_Распашные ворота и калитки" sheetId="205" r:id="rId45"/>
    <sheet name="4_8_Эл-ты ограждений Locinox" sheetId="206" r:id="rId46"/>
    <sheet name="5_1_Гидро-пароизоляция" sheetId="217" r:id="rId47"/>
    <sheet name="5_2_Комплектующие" sheetId="238" r:id="rId48"/>
    <sheet name="5_3_Утеплители" sheetId="222" r:id="rId49"/>
    <sheet name="5_4_Carbon и Planter" sheetId="270" r:id="rId50"/>
    <sheet name="5_5_Инструменты" sheetId="271" r:id="rId51"/>
    <sheet name="5_6_Инструменты 2" sheetId="223" r:id="rId52"/>
    <sheet name="6_1_Террасная доска и Теплицы" sheetId="212" r:id="rId53"/>
    <sheet name="7_УПАКОВКА" sheetId="245" r:id="rId54"/>
    <sheet name="9_Адреса офисов" sheetId="268" r:id="rId55"/>
    <sheet name="Цены" sheetId="174" state="veryHidden" r:id="rId56"/>
  </sheets>
  <definedNames>
    <definedName name="Belarus">1</definedName>
    <definedName name="Belarusclplus">0</definedName>
    <definedName name="Belaruskv">0</definedName>
    <definedName name="Classic_Atl">Цены!$P$8</definedName>
    <definedName name="Classic_dachPr">Цены!$AP$8</definedName>
    <definedName name="Classic_dachSk">Цены!$AR$8</definedName>
    <definedName name="Classic_Dr">Цены!$Z$8</definedName>
    <definedName name="Classic_K_Atl">Цены!$P$46</definedName>
    <definedName name="Classic_K_dachPr">Цены!$AP$46</definedName>
    <definedName name="Classic_K_dachSk">Цены!$AR$46</definedName>
    <definedName name="Classic_K_Dr">Цены!$Z$46</definedName>
    <definedName name="Classic_K_Pdx">Цены!$T$46</definedName>
    <definedName name="Classic_K_Pdxmatt">Цены!$V$46</definedName>
    <definedName name="Classic_K_Pe04">Цены!$AN$46</definedName>
    <definedName name="Classic_K_Pe045">Цены!$AL$46</definedName>
    <definedName name="Classic_K_Pe065">Цены!$AJ$46</definedName>
    <definedName name="Classic_K_Pe07">Цены!$AH$46</definedName>
    <definedName name="Classic_K_Pe08">Цены!$AF$46</definedName>
    <definedName name="Classic_K_PEdp">Цены!$AD$46</definedName>
    <definedName name="Classic_K_Pt">Цены!$F$46</definedName>
    <definedName name="Classic_K_Ptdach">Цены!$BJ$46</definedName>
    <definedName name="Classic_K_Ptdp">Цены!$D$46</definedName>
    <definedName name="Classic_K_PtNN">Цены!$BL$46</definedName>
    <definedName name="Classic_K_Pur">Цены!$R$46</definedName>
    <definedName name="Classic_K_Q">Цены!$J$46</definedName>
    <definedName name="Classic_K_Ql">Цены!$L$46</definedName>
    <definedName name="Classic_K_Sat">Цены!$AB$46</definedName>
    <definedName name="Classic_K_Sf">Цены!$H$46</definedName>
    <definedName name="Classic_K_StBarhat">Цены!$X$46</definedName>
    <definedName name="Classic_K_Vel">Цены!$N$46</definedName>
    <definedName name="Classic_Pdx">Цены!$T$8</definedName>
    <definedName name="Classic_Pdxmatt">Цены!$V$8</definedName>
    <definedName name="Classic_Pe04">Цены!$AN$8</definedName>
    <definedName name="Classic_Pe045">Цены!$AL$8</definedName>
    <definedName name="Classic_Pe065">Цены!$AJ$8</definedName>
    <definedName name="Classic_Pe07">Цены!$AH$8</definedName>
    <definedName name="Classic_Pe08">Цены!$AF$8</definedName>
    <definedName name="Classic_PEdp">Цены!$AD$8</definedName>
    <definedName name="Classic_Pt">Цены!$F$8</definedName>
    <definedName name="Classic_Ptdach">Цены!$BJ$8</definedName>
    <definedName name="Classic_Ptdp">Цены!$D$8</definedName>
    <definedName name="Classic_PtNN">Цены!$BL$8</definedName>
    <definedName name="Classic_Pur">Цены!$R$8</definedName>
    <definedName name="Classic_Q">Цены!$J$8</definedName>
    <definedName name="Classic_Ql">Цены!$L$8</definedName>
    <definedName name="Classic_Sat">Цены!$AB$8</definedName>
    <definedName name="Classic_Sf">Цены!$H$8</definedName>
    <definedName name="Classic_StBarhat">Цены!$X$8</definedName>
    <definedName name="Classic_Vel">Цены!$N$8</definedName>
    <definedName name="ClassicPl_Atl">Цены!$P$9</definedName>
    <definedName name="ClassicPl_dachPr">Цены!$AP$9</definedName>
    <definedName name="ClassicPl_dachSk">Цены!$AR$9</definedName>
    <definedName name="ClassicPl_Dr">Цены!$Z$9</definedName>
    <definedName name="ClassicPl_K_Atl">Цены!$P$47</definedName>
    <definedName name="ClassicPl_K_dachPr">Цены!$AP$47</definedName>
    <definedName name="ClassicPl_K_dachSk">Цены!$AR$47</definedName>
    <definedName name="ClassicPl_K_Dr">Цены!$Z$47</definedName>
    <definedName name="ClassicPl_K_Pdx">Цены!$T$47</definedName>
    <definedName name="ClassicPl_K_Pdxmatt">Цены!$V$47</definedName>
    <definedName name="ClassicPl_K_Pe04">Цены!$AN$47</definedName>
    <definedName name="ClassicPl_K_Pe045">Цены!$AL$47</definedName>
    <definedName name="ClassicPl_K_Pe065">Цены!$AJ$47</definedName>
    <definedName name="ClassicPl_K_Pe07">Цены!$AH$47</definedName>
    <definedName name="ClassicPl_K_Pe08">Цены!$AF$47</definedName>
    <definedName name="ClassicPl_K_PEdp">Цены!$AD$47</definedName>
    <definedName name="ClassicPl_K_Pt">Цены!$F$47</definedName>
    <definedName name="ClassicPl_K_Ptdach">Цены!$BJ$47</definedName>
    <definedName name="ClassicPl_K_Ptdp">Цены!$D$47</definedName>
    <definedName name="ClassicPl_K_PtNN">Цены!$BL$47</definedName>
    <definedName name="ClassicPl_K_Pur">Цены!$R$47</definedName>
    <definedName name="ClassicPl_K_Q">Цены!$J$47</definedName>
    <definedName name="ClassicPl_K_Ql">Цены!$L$47</definedName>
    <definedName name="ClassicPl_K_Sat">Цены!$AB$47</definedName>
    <definedName name="ClassicPl_K_Sf">Цены!$H$47</definedName>
    <definedName name="ClassicPl_K_StBarhat">Цены!$X$47</definedName>
    <definedName name="ClassicPl_K_Vel">Цены!$N$47</definedName>
    <definedName name="ClassicPl_Pdx">Цены!$T$9</definedName>
    <definedName name="ClassicPl_Pdxmatt">Цены!$V$9</definedName>
    <definedName name="ClassicPl_Pe04">Цены!$AN$9</definedName>
    <definedName name="ClassicPl_Pe045">Цены!$AL$9</definedName>
    <definedName name="ClassicPl_Pe065">Цены!$AJ$9</definedName>
    <definedName name="ClassicPl_Pe07">Цены!$AH$9</definedName>
    <definedName name="ClassicPl_Pe08">Цены!$AF$9</definedName>
    <definedName name="ClassicPl_PEdp">Цены!$AD$9</definedName>
    <definedName name="ClassicPl_Pt">Цены!$F$9</definedName>
    <definedName name="ClassicPl_Ptdach">Цены!$BJ$9</definedName>
    <definedName name="ClassicPl_Ptdp">Цены!$D$9</definedName>
    <definedName name="ClassicPl_PtNN">Цены!$BL$9</definedName>
    <definedName name="ClassicPl_Pur">Цены!$R$9</definedName>
    <definedName name="ClassicPl_Q">Цены!$J$9</definedName>
    <definedName name="ClassicPl_Ql">Цены!$L$9</definedName>
    <definedName name="ClassicPl_Sat">Цены!$AB$9</definedName>
    <definedName name="ClassicPl_Sf">Цены!$H$9</definedName>
    <definedName name="ClassicPl_StBarhat">Цены!$X$9</definedName>
    <definedName name="ClassicPl_Vel">Цены!$N$9</definedName>
    <definedName name="Falz2_Atl">Цены!$P$13</definedName>
    <definedName name="Falz2_dachPr">Цены!$AP$13</definedName>
    <definedName name="Falz2_dachSk">Цены!$AR$13</definedName>
    <definedName name="Falz2_Dr">Цены!$Z$13</definedName>
    <definedName name="Falz2_K_Atl">Цены!$P$51</definedName>
    <definedName name="Falz2_K_dachPr">Цены!$AP$51</definedName>
    <definedName name="Falz2_K_dachSk">Цены!$AR$51</definedName>
    <definedName name="Falz2_K_Dr">Цены!$Z$51</definedName>
    <definedName name="Falz2_K_Pdx">Цены!$T$51</definedName>
    <definedName name="Falz2_K_Pdxmatt">Цены!$V$51</definedName>
    <definedName name="Falz2_K_Pe04">Цены!$AN$51</definedName>
    <definedName name="Falz2_K_Pe045">Цены!$AL$51</definedName>
    <definedName name="Falz2_K_Pe065">Цены!$AJ$51</definedName>
    <definedName name="Falz2_K_Pe07">Цены!$AH$51</definedName>
    <definedName name="Falz2_K_Pe08">Цены!$AF$51</definedName>
    <definedName name="Falz2_K_PEdp">Цены!$AD$51</definedName>
    <definedName name="Falz2_K_Pt">Цены!$F$51</definedName>
    <definedName name="Falz2_K_Ptdach">Цены!$BJ$51</definedName>
    <definedName name="Falz2_K_Ptdp">Цены!$D$51</definedName>
    <definedName name="Falz2_K_PtNN">Цены!$BL$51</definedName>
    <definedName name="Falz2_K_Pur">Цены!$R$51</definedName>
    <definedName name="Falz2_K_Q">Цены!$J$51</definedName>
    <definedName name="Falz2_K_Ql">Цены!$L$51</definedName>
    <definedName name="Falz2_K_Sat">Цены!$AB$51</definedName>
    <definedName name="Falz2_K_Sf">Цены!$H$51</definedName>
    <definedName name="Falz2_K_StBarhat">Цены!$X$51</definedName>
    <definedName name="Falz2_K_Vel">Цены!$N$51</definedName>
    <definedName name="Falz2_K_Zn035">Цены!$AT$51</definedName>
    <definedName name="Falz2_K_Zn04">Цены!$AV$51</definedName>
    <definedName name="Falz2_K_Zn045">Цены!$AX$51</definedName>
    <definedName name="Falz2_K_Zn05">Цены!$AZ$51</definedName>
    <definedName name="Falz2_K_Zn055">Цены!$BB$51</definedName>
    <definedName name="Falz2_K_Zn07">Цены!$BD$51</definedName>
    <definedName name="Falz2_K_Zn08">Цены!$BF$51</definedName>
    <definedName name="Falz2_K_Zn09">Цены!$BH$51</definedName>
    <definedName name="Falz2_Pdx">Цены!$T$13</definedName>
    <definedName name="Falz2_Pdxmatt">Цены!$V$13</definedName>
    <definedName name="Falz2_Pe04">Цены!$AN$13</definedName>
    <definedName name="Falz2_Pe045">Цены!$AL$13</definedName>
    <definedName name="Falz2_Pe065">Цены!$AJ$13</definedName>
    <definedName name="Falz2_Pe07">Цены!$AH$13</definedName>
    <definedName name="Falz2_Pe08">Цены!$AF$13</definedName>
    <definedName name="Falz2_PEdp">Цены!$AD$13</definedName>
    <definedName name="Falz2_Pt">Цены!$F$13</definedName>
    <definedName name="Falz2_Ptdach">Цены!$BJ$13</definedName>
    <definedName name="Falz2_Ptdp">Цены!$D$13</definedName>
    <definedName name="Falz2_PtNN">Цены!$BL$13</definedName>
    <definedName name="Falz2_Pur">Цены!$R$13</definedName>
    <definedName name="Falz2_Q">Цены!$J$13</definedName>
    <definedName name="Falz2_Ql">Цены!$L$13</definedName>
    <definedName name="Falz2_Sat">Цены!$AB$13</definedName>
    <definedName name="Falz2_Sf">Цены!$H$13</definedName>
    <definedName name="Falz2_StBarhat">Цены!$X$13</definedName>
    <definedName name="Falz2_Vel">Цены!$N$13</definedName>
    <definedName name="Falz2_Zn035">Цены!$AT$13</definedName>
    <definedName name="Falz2_Zn04">Цены!$AV$13</definedName>
    <definedName name="Falz2_Zn045">Цены!$AX$13</definedName>
    <definedName name="Falz2_Zn05">Цены!$AZ$13</definedName>
    <definedName name="Falz2_Zn055">Цены!$BB$13</definedName>
    <definedName name="Falz2_Zn07">Цены!$BD$13</definedName>
    <definedName name="Falz2_Zn08">Цены!$BF$13</definedName>
    <definedName name="Falz2_Zn09">Цены!$BH$13</definedName>
    <definedName name="Kamea_Atl">Цены!$P$6</definedName>
    <definedName name="Kamea_dachPr">Цены!$AP$6</definedName>
    <definedName name="Kamea_dachSk">Цены!$AR$6</definedName>
    <definedName name="Kamea_Dr">Цены!$Z$6</definedName>
    <definedName name="Kamea_K_Atl">Цены!$P$44</definedName>
    <definedName name="Kamea_K_dachPr">Цены!$AP$44</definedName>
    <definedName name="Kamea_K_dachSk">Цены!$AR$44</definedName>
    <definedName name="Kamea_K_Dr">Цены!$Z$44</definedName>
    <definedName name="Kamea_K_Pdx">Цены!$T$44</definedName>
    <definedName name="Kamea_K_Pdxmatt">Цены!$V$44</definedName>
    <definedName name="Kamea_K_Pe04">Цены!$AN$44</definedName>
    <definedName name="Kamea_K_Pe045">Цены!$AL$44</definedName>
    <definedName name="Kamea_K_Pe065">Цены!$AJ$44</definedName>
    <definedName name="Kamea_K_Pe07">Цены!$AH$44</definedName>
    <definedName name="Kamea_K_Pe08">Цены!$AF$44</definedName>
    <definedName name="Kamea_K_PEdp">Цены!$AD$44</definedName>
    <definedName name="Kamea_K_Pt">Цены!$F$44</definedName>
    <definedName name="Kamea_K_Ptdach">Цены!$BJ$44</definedName>
    <definedName name="Kamea_K_Ptdp">Цены!$D$44</definedName>
    <definedName name="Kamea_K_PtNN">Цены!$BL$44</definedName>
    <definedName name="Kamea_K_Pur">Цены!$R$44</definedName>
    <definedName name="Kamea_K_Q">Цены!$J$44</definedName>
    <definedName name="Kamea_K_Ql">Цены!$L$44</definedName>
    <definedName name="Kamea_K_Sat">Цены!$AB$44</definedName>
    <definedName name="Kamea_K_Sf">Цены!$H$44</definedName>
    <definedName name="Kamea_K_StBarhat">Цены!$X$44</definedName>
    <definedName name="Kamea_K_Vel">Цены!$N$44</definedName>
    <definedName name="Kamea_Pdx">Цены!$T$6</definedName>
    <definedName name="Kamea_Pdxmatt">Цены!$V$6</definedName>
    <definedName name="Kamea_Pe04">Цены!$AN$6</definedName>
    <definedName name="Kamea_Pe045">Цены!$AL$6</definedName>
    <definedName name="Kamea_Pe065">Цены!$AJ$6</definedName>
    <definedName name="Kamea_Pe07">Цены!$AH$6</definedName>
    <definedName name="Kamea_Pe08">Цены!$AF$6</definedName>
    <definedName name="Kamea_PEdp">Цены!$AD$6</definedName>
    <definedName name="Kamea_Pt">Цены!$F$6</definedName>
    <definedName name="Kamea_Ptdach">Цены!$BJ$6</definedName>
    <definedName name="Kamea_Ptdp">Цены!$D$6</definedName>
    <definedName name="Kamea_PtNN">Цены!$BL$6</definedName>
    <definedName name="Kamea_Pur">Цены!$R$6</definedName>
    <definedName name="Kamea_Q">Цены!$J$6</definedName>
    <definedName name="Kamea_Ql">Цены!$L$6</definedName>
    <definedName name="Kamea_Sat">Цены!$AB$6</definedName>
    <definedName name="Kamea_Sf">Цены!$H$6</definedName>
    <definedName name="Kamea_StBarhat">Цены!$X$6</definedName>
    <definedName name="Kamea_Vel">Цены!$N$6</definedName>
    <definedName name="Klik_Atl">Цены!$P$14</definedName>
    <definedName name="Klik_dachPr">Цены!$AP$14</definedName>
    <definedName name="Klik_dachSk">Цены!$AR$14</definedName>
    <definedName name="Klik_Dr">Цены!$Z$14</definedName>
    <definedName name="Klik_K_Atl">Цены!$P$52</definedName>
    <definedName name="Klik_K_dachPr">Цены!$AP$52</definedName>
    <definedName name="Klik_K_dachSk">Цены!$AR$52</definedName>
    <definedName name="Klik_K_Dr">Цены!$Z$52</definedName>
    <definedName name="Klik_K_Pdx">Цены!$T$52</definedName>
    <definedName name="Klik_K_Pdxmatt">Цены!$V$52</definedName>
    <definedName name="Klik_K_Pe04">Цены!$AN$52</definedName>
    <definedName name="Klik_K_Pe045">Цены!$AL$52</definedName>
    <definedName name="Klik_K_Pe065">Цены!$AJ$52</definedName>
    <definedName name="Klik_K_Pe07">Цены!$AH$52</definedName>
    <definedName name="Klik_K_Pe08">Цены!$AF$52</definedName>
    <definedName name="Klik_K_PEdp">Цены!$AD$52</definedName>
    <definedName name="Klik_K_Pt">Цены!$F$52</definedName>
    <definedName name="Klik_K_Ptdach">Цены!$BJ$52</definedName>
    <definedName name="Klik_K_Ptdp">Цены!$D$52</definedName>
    <definedName name="Klik_K_PtNN">Цены!$BL$52</definedName>
    <definedName name="Klik_K_Pur">Цены!$R$52</definedName>
    <definedName name="Klik_K_Q">Цены!$J$52</definedName>
    <definedName name="Klik_K_Ql">Цены!$L$52</definedName>
    <definedName name="Klik_K_Sat">Цены!$AB$52</definedName>
    <definedName name="Klik_K_Sf">Цены!$H$52</definedName>
    <definedName name="Klik_K_StBarhat">Цены!$X$52</definedName>
    <definedName name="Klik_K_Vel">Цены!$N$52</definedName>
    <definedName name="Klik_K_Zn035">Цены!$AT$52</definedName>
    <definedName name="Klik_K_Zn04">Цены!$AV$52</definedName>
    <definedName name="Klik_K_Zn045">Цены!$AX$52</definedName>
    <definedName name="Klik_K_Zn05">Цены!$AZ$52</definedName>
    <definedName name="Klik_K_Zn055">Цены!$BB$52</definedName>
    <definedName name="Klik_K_Zn07">Цены!$BD$52</definedName>
    <definedName name="Klik_K_Zn08">Цены!$BF$52</definedName>
    <definedName name="Klik_K_Zn09">Цены!$BH$52</definedName>
    <definedName name="Klik_mini_Atl">Цены!$P$15</definedName>
    <definedName name="Klik_mini_dachPr">Цены!$AP$15</definedName>
    <definedName name="Klik_mini_dachSk">Цены!$AR$15</definedName>
    <definedName name="Klik_mini_Dr">Цены!$Z$15</definedName>
    <definedName name="Klik_mini_K_Atl">Цены!$P$53</definedName>
    <definedName name="Klik_mini_K_dachPr">Цены!$AP$53</definedName>
    <definedName name="Klik_mini_K_dachSk">Цены!$AR$53</definedName>
    <definedName name="Klik_mini_K_Dr">Цены!$Z$53</definedName>
    <definedName name="Klik_mini_K_Pdx">Цены!$T$53</definedName>
    <definedName name="Klik_mini_K_Pdxmatt">Цены!$V$53</definedName>
    <definedName name="Klik_mini_K_Pe04">Цены!$AN$53</definedName>
    <definedName name="Klik_mini_K_Pe045">Цены!$AL$53</definedName>
    <definedName name="Klik_mini_K_Pe065">Цены!$AJ$53</definedName>
    <definedName name="Klik_mini_K_Pe07">Цены!$AH$53</definedName>
    <definedName name="Klik_mini_K_Pe08">Цены!$AF$53</definedName>
    <definedName name="Klik_mini_K_PEdp">Цены!$AD$53</definedName>
    <definedName name="Klik_mini_K_Pt">Цены!$F$53</definedName>
    <definedName name="Klik_mini_K_Ptdach">Цены!$BJ$53</definedName>
    <definedName name="Klik_mini_K_Ptdp">Цены!$D$53</definedName>
    <definedName name="Klik_mini_K_PtNN">Цены!$BL$53</definedName>
    <definedName name="Klik_mini_K_Pur">Цены!$R$53</definedName>
    <definedName name="Klik_mini_K_Q">Цены!$J$53</definedName>
    <definedName name="Klik_mini_K_Ql">Цены!$L$53</definedName>
    <definedName name="Klik_mini_K_Sat">Цены!$AB$53</definedName>
    <definedName name="Klik_mini_K_Sf">Цены!$H$53</definedName>
    <definedName name="Klik_mini_K_StBarhat">Цены!$X$53</definedName>
    <definedName name="Klik_mini_K_Vel">Цены!$N$53</definedName>
    <definedName name="Klik_mini_K_Zn035">Цены!$AT$53</definedName>
    <definedName name="Klik_mini_K_Zn04">Цены!$AV$53</definedName>
    <definedName name="Klik_mini_K_Zn045">Цены!$AX$53</definedName>
    <definedName name="Klik_mini_K_Zn05">Цены!$AZ$53</definedName>
    <definedName name="Klik_mini_K_Zn055">Цены!$BB$53</definedName>
    <definedName name="Klik_mini_K_Zn07">Цены!$BD$53</definedName>
    <definedName name="Klik_mini_K_Zn08">Цены!$BF$53</definedName>
    <definedName name="Klik_mini_K_Zn09">Цены!$BH$53</definedName>
    <definedName name="Klik_mini_Pdx">Цены!$T$15</definedName>
    <definedName name="Klik_mini_Pdxmatt">Цены!$V$15</definedName>
    <definedName name="Klik_mini_Pe04">Цены!$AN$15</definedName>
    <definedName name="Klik_mini_Pe045">Цены!$AL$15</definedName>
    <definedName name="Klik_mini_Pe065">Цены!$AJ$15</definedName>
    <definedName name="Klik_mini_Pe07">Цены!$AH$15</definedName>
    <definedName name="Klik_mini_Pe08">Цены!$AF$15</definedName>
    <definedName name="Klik_mini_PEdp">Цены!$AD$15</definedName>
    <definedName name="Klik_mini_Pt">Цены!$F$15</definedName>
    <definedName name="Klik_mini_Ptdach">Цены!$BJ$15</definedName>
    <definedName name="Klik_mini_Ptdp">Цены!$D$15</definedName>
    <definedName name="Klik_mini_PtNN">Цены!$BL$15</definedName>
    <definedName name="Klik_mini_Pur">Цены!$R$15</definedName>
    <definedName name="Klik_mini_Q">Цены!$J$15</definedName>
    <definedName name="Klik_mini_Ql">Цены!$L$15</definedName>
    <definedName name="Klik_mini_Sat">Цены!$AB$15</definedName>
    <definedName name="Klik_mini_Sf">Цены!$H$15</definedName>
    <definedName name="Klik_mini_StBarhat">Цены!$X$15</definedName>
    <definedName name="Klik_mini_Vel">Цены!$N$15</definedName>
    <definedName name="Klik_mini_Zn035">Цены!$AT$15</definedName>
    <definedName name="Klik_mini_Zn04">Цены!$AV$15</definedName>
    <definedName name="Klik_mini_Zn045">Цены!$AX$15</definedName>
    <definedName name="Klik_mini_Zn05">Цены!$AZ$15</definedName>
    <definedName name="Klik_mini_Zn055">Цены!$BB$15</definedName>
    <definedName name="Klik_mini_Zn07">Цены!$BD$15</definedName>
    <definedName name="Klik_mini_Zn08">Цены!$BF$15</definedName>
    <definedName name="Klik_mini_Zn09">Цены!$BH$15</definedName>
    <definedName name="Klik_Pdx">Цены!$T$14</definedName>
    <definedName name="Klik_Pdxmatt">Цены!$V$14</definedName>
    <definedName name="Klik_Pe04">Цены!$AN$14</definedName>
    <definedName name="Klik_Pe045">Цены!$AL$14</definedName>
    <definedName name="Klik_Pe065">Цены!$AJ$14</definedName>
    <definedName name="Klik_Pe07">Цены!$AH$14</definedName>
    <definedName name="Klik_Pe08">Цены!$AF$14</definedName>
    <definedName name="Klik_PEdp">Цены!$AD$14</definedName>
    <definedName name="Klik_Pt">Цены!$F$14</definedName>
    <definedName name="Klik_Ptdach">Цены!$BJ$14</definedName>
    <definedName name="Klik_Ptdp">Цены!$D$14</definedName>
    <definedName name="Klik_PtNN">Цены!$BL$14</definedName>
    <definedName name="Klik_Pur">Цены!$R$14</definedName>
    <definedName name="Klik_Q">Цены!$J$14</definedName>
    <definedName name="Klik_Ql">Цены!$L$14</definedName>
    <definedName name="Klik_Sat">Цены!$AB$14</definedName>
    <definedName name="Klik_Sf">Цены!$H$14</definedName>
    <definedName name="Klik_StBarhat">Цены!$X$14</definedName>
    <definedName name="Klik_Vel">Цены!$N$14</definedName>
    <definedName name="Klik_Zn035">Цены!$AT$14</definedName>
    <definedName name="Klik_Zn04">Цены!$AV$14</definedName>
    <definedName name="Klik_Zn045">Цены!$AX$14</definedName>
    <definedName name="Klik_Zn05">Цены!$AZ$14</definedName>
    <definedName name="Klik_Zn055">Цены!$BB$14</definedName>
    <definedName name="Klik_Zn07">Цены!$BD$14</definedName>
    <definedName name="Klik_Zn08">Цены!$BF$14</definedName>
    <definedName name="Klik_Zn09">Цены!$BH$14</definedName>
    <definedName name="Kredo_Atl">Цены!$P$7</definedName>
    <definedName name="Kredo_dachPr">Цены!$AP$7</definedName>
    <definedName name="Kredo_dachSk">Цены!$AR$7</definedName>
    <definedName name="Kredo_Dr">Цены!$Z$7</definedName>
    <definedName name="Kredo_K_Atl">Цены!$P$45</definedName>
    <definedName name="Kredo_K_dachPr">Цены!$AP$45</definedName>
    <definedName name="Kredo_K_dachSk">Цены!$AR$45</definedName>
    <definedName name="Kredo_K_Dr">Цены!$Z$45</definedName>
    <definedName name="Kredo_K_Pdx">Цены!$T$45</definedName>
    <definedName name="Kredo_K_Pdxmatt">Цены!$V$45</definedName>
    <definedName name="Kredo_K_Pe04">Цены!$AN$45</definedName>
    <definedName name="Kredo_K_Pe045">Цены!$AL$45</definedName>
    <definedName name="Kredo_K_Pe065">Цены!$AJ$45</definedName>
    <definedName name="Kredo_K_Pe07">Цены!$AH$45</definedName>
    <definedName name="Kredo_K_Pe08">Цены!$AF$45</definedName>
    <definedName name="Kredo_K_PEdp">Цены!$AD$45</definedName>
    <definedName name="Kredo_K_Pt">Цены!$F$45</definedName>
    <definedName name="Kredo_K_Ptdach">Цены!$BJ$45</definedName>
    <definedName name="Kredo_K_Ptdp">Цены!$D$45</definedName>
    <definedName name="Kredo_K_PtNN">Цены!$BL$45</definedName>
    <definedName name="Kredo_K_Pur">Цены!$R$45</definedName>
    <definedName name="Kredo_K_Q">Цены!$J$45</definedName>
    <definedName name="Kredo_K_Ql">Цены!$L$45</definedName>
    <definedName name="Kredo_K_Sat">Цены!$AB$45</definedName>
    <definedName name="Kredo_K_Sf">Цены!$H$45</definedName>
    <definedName name="Kredo_K_StBarhat">Цены!$X$45</definedName>
    <definedName name="Kredo_K_Vel">Цены!$N$45</definedName>
    <definedName name="Kredo_Pdx">Цены!$T$7</definedName>
    <definedName name="Kredo_Pdxmatt">Цены!$V$7</definedName>
    <definedName name="Kredo_Pe04">Цены!$AN$7</definedName>
    <definedName name="Kredo_Pe045">Цены!$AL$7</definedName>
    <definedName name="Kredo_Pe065">Цены!$AJ$7</definedName>
    <definedName name="Kredo_Pe07">Цены!$AH$7</definedName>
    <definedName name="Kredo_Pe08">Цены!$AF$7</definedName>
    <definedName name="Kredo_PEdp">Цены!$AD$7</definedName>
    <definedName name="Kredo_Pt">Цены!$F$7</definedName>
    <definedName name="Kredo_Ptdach">Цены!$BJ$7</definedName>
    <definedName name="Kredo_Ptdp">Цены!$D$7</definedName>
    <definedName name="Kredo_PtNN">Цены!$BL$7</definedName>
    <definedName name="Kredo_Pur">Цены!$R$7</definedName>
    <definedName name="Kredo_Q">Цены!$J$7</definedName>
    <definedName name="Kredo_Ql">Цены!$L$7</definedName>
    <definedName name="Kredo_Sat">Цены!$AB$7</definedName>
    <definedName name="Kredo_Sf">Цены!$H$7</definedName>
    <definedName name="Kredo_StBarhat">Цены!$X$7</definedName>
    <definedName name="Kredo_Vel">Цены!$N$7</definedName>
    <definedName name="KvintaPl_Atl">Цены!$P$4</definedName>
    <definedName name="KvintaPl_dachPr">Цены!$AP$4</definedName>
    <definedName name="KvintaPl_dachSk">Цены!$AR$4</definedName>
    <definedName name="KvintaPl_Dr">Цены!$Z$4</definedName>
    <definedName name="KvintaPl_K_Atl">Цены!$P$42</definedName>
    <definedName name="KvintaPl_K_dachPr">Цены!$AP$42</definedName>
    <definedName name="KvintaPl_K_dachSk">Цены!$AR$42</definedName>
    <definedName name="KvintaPl_K_Dr">Цены!$Z$42</definedName>
    <definedName name="KvintaPl_K_Pdx">Цены!$T$42</definedName>
    <definedName name="KvintaPl_K_Pdxmatt">Цены!$V$42</definedName>
    <definedName name="KvintaPl_K_Pe04">Цены!$AN$42</definedName>
    <definedName name="KvintaPl_K_Pe045">Цены!$AL$42</definedName>
    <definedName name="KvintaPl_K_Pe065">Цены!$AJ$42</definedName>
    <definedName name="KvintaPl_K_Pe07">Цены!$AH$42</definedName>
    <definedName name="KvintaPl_K_Pe08">Цены!$AF$42</definedName>
    <definedName name="KvintaPl_K_PEdp">Цены!$AD$42</definedName>
    <definedName name="KvintaPl_K_Pt">Цены!$F$42</definedName>
    <definedName name="KvintaPl_K_Ptdach">Цены!$BJ$42</definedName>
    <definedName name="KvintaPl_K_Ptdp">Цены!$D$42</definedName>
    <definedName name="KvintaPl_K_PtNN">Цены!$BL$42</definedName>
    <definedName name="KvintaPl_K_Pur">Цены!$R$42</definedName>
    <definedName name="KvintaPl_K_Q">Цены!$J$42</definedName>
    <definedName name="KvintaPl_K_Ql">Цены!$L$42</definedName>
    <definedName name="KvintaPl_K_Sat">Цены!$AB$42</definedName>
    <definedName name="KvintaPl_K_Sf">Цены!$H$42</definedName>
    <definedName name="KvintaPl_K_StBarhat">Цены!$X$42</definedName>
    <definedName name="KvintaPl_K_Vel">Цены!$N$42</definedName>
    <definedName name="KvintaPl_Pdx">Цены!$T$4</definedName>
    <definedName name="KvintaPl_Pdxmatt">Цены!$V$4</definedName>
    <definedName name="KvintaPl_Pe04">Цены!$AN$4</definedName>
    <definedName name="KvintaPl_Pe045">Цены!$AL$4</definedName>
    <definedName name="KvintaPl_Pe065">Цены!$AJ$4</definedName>
    <definedName name="KvintaPl_Pe07">Цены!$AH$4</definedName>
    <definedName name="KvintaPl_Pe08">Цены!$AF$4</definedName>
    <definedName name="KvintaPl_PEdp">Цены!$AD$4</definedName>
    <definedName name="KvintaPl_Pt">Цены!$F$4</definedName>
    <definedName name="KvintaPl_Ptdach">Цены!$BJ$4</definedName>
    <definedName name="KvintaPl_Ptdp">Цены!$D$4</definedName>
    <definedName name="KvintaPl_PtNN">Цены!$BL$4</definedName>
    <definedName name="KvintaPl_Pur">Цены!$R$4</definedName>
    <definedName name="KvintaPl_Q">Цены!$J$4</definedName>
    <definedName name="KvintaPl_Ql">Цены!$L$4</definedName>
    <definedName name="KvintaPl_Sat">Цены!$AB$4</definedName>
    <definedName name="KvintaPl_Sf">Цены!$H$4</definedName>
    <definedName name="KvintaPl_StBarhat">Цены!$X$4</definedName>
    <definedName name="KvintaPl_Vel">Цены!$N$4</definedName>
    <definedName name="KvintaUno_Atl">Цены!$P$5</definedName>
    <definedName name="KvintaUno_Dr">Цены!$Z$5</definedName>
    <definedName name="KvintaUno_Pdx">Цены!$T$5</definedName>
    <definedName name="KvintaUno_Pdxmatt">Цены!$V$5</definedName>
    <definedName name="KvintaUno_Pe045">Цены!$AL$5</definedName>
    <definedName name="KvintaUno_Pt">Цены!$F$5</definedName>
    <definedName name="KvintaUno_Ptdp">Цены!$D$5</definedName>
    <definedName name="KvintaUno_Pur">Цены!$R$5</definedName>
    <definedName name="KvintaUno_Q">Цены!$J$5</definedName>
    <definedName name="KvintaUno_Ql">Цены!$L$5</definedName>
    <definedName name="KvintaUno_Sat">Цены!$AB$5</definedName>
    <definedName name="KvintaUno_Sf">Цены!$H$5</definedName>
    <definedName name="KvintaUno_StBarhat">Цены!$X$5</definedName>
    <definedName name="KvintaUno_Vel">Цены!$N$5</definedName>
    <definedName name="List_Atl">Цены!$P$26</definedName>
    <definedName name="List_dachPr">Цены!$AP$26</definedName>
    <definedName name="List_dachSk">Цены!$AR$26</definedName>
    <definedName name="List_Dr">Цены!$Z$26</definedName>
    <definedName name="List_K_Atl">Цены!$P$63</definedName>
    <definedName name="List_K_dachPr">Цены!$AP$63</definedName>
    <definedName name="List_K_dachSk">Цены!$AR$63</definedName>
    <definedName name="List_K_Dr">Цены!$Z$63</definedName>
    <definedName name="List_K_Pdx">Цены!$T$63</definedName>
    <definedName name="List_K_Pdxmatt">Цены!$V$63</definedName>
    <definedName name="List_K_Pe04">Цены!$AN$63</definedName>
    <definedName name="List_K_Pe045">Цены!$AL$63</definedName>
    <definedName name="List_K_Pe065">Цены!$AJ$63</definedName>
    <definedName name="List_K_Pe07">Цены!$AH$63</definedName>
    <definedName name="List_K_Pe08">Цены!$AF$63</definedName>
    <definedName name="List_K_PEdp">Цены!$AD$63</definedName>
    <definedName name="List_K_Pt">Цены!$F$63</definedName>
    <definedName name="List_K_Ptdach">Цены!$BJ$63</definedName>
    <definedName name="List_K_Ptdp">Цены!$D$63</definedName>
    <definedName name="List_K_PtNN">Цены!$BL$63</definedName>
    <definedName name="List_K_Pur">Цены!$R$63</definedName>
    <definedName name="List_K_Q">Цены!$J$63</definedName>
    <definedName name="List_K_Ql">Цены!$L$63</definedName>
    <definedName name="List_K_Sat">Цены!$AB$63</definedName>
    <definedName name="List_K_Sf">Цены!$H$63</definedName>
    <definedName name="List_K_StBarhat">Цены!$X$63</definedName>
    <definedName name="List_K_Vel">Цены!$N$63</definedName>
    <definedName name="List_K_Zn035">Цены!$AT$63</definedName>
    <definedName name="List_K_Zn04">Цены!$AV$63</definedName>
    <definedName name="List_K_Zn045">Цены!$AX$63</definedName>
    <definedName name="List_K_Zn05">Цены!$AZ$63</definedName>
    <definedName name="List_K_Zn055">Цены!$BB$63</definedName>
    <definedName name="List_K_Zn07">Цены!$BD$63</definedName>
    <definedName name="List_K_Zn08">Цены!$BF$63</definedName>
    <definedName name="List_K_Zn09">Цены!$BH$63</definedName>
    <definedName name="List_Pdx">Цены!$T$26</definedName>
    <definedName name="List_Pdxmatt">Цены!$V$26</definedName>
    <definedName name="List_Pe04">Цены!$AN$26</definedName>
    <definedName name="List_Pe045">Цены!$AL$26</definedName>
    <definedName name="List_Pe065">Цены!$AJ$26</definedName>
    <definedName name="List_Pe07">Цены!$AH$26</definedName>
    <definedName name="List_Pe08">Цены!$AF$26</definedName>
    <definedName name="List_PEdp">Цены!$AD$26</definedName>
    <definedName name="List_Pt">Цены!$F$26</definedName>
    <definedName name="List_Ptdach">Цены!$BJ$26</definedName>
    <definedName name="List_Ptdp">Цены!$D$26</definedName>
    <definedName name="List_PtNN">Цены!$BL$26</definedName>
    <definedName name="List_Pur">Цены!$R$26</definedName>
    <definedName name="List_Q">Цены!$J$26</definedName>
    <definedName name="List_Ql">Цены!$L$26</definedName>
    <definedName name="List_Sat">Цены!$AB$26</definedName>
    <definedName name="List_Sf">Цены!$H$26</definedName>
    <definedName name="List_StBarhat">Цены!$X$26</definedName>
    <definedName name="List_Vel">Цены!$N$26</definedName>
    <definedName name="List_Zn035">Цены!$AT$26</definedName>
    <definedName name="List_Zn04">Цены!$AV$26</definedName>
    <definedName name="List_Zn045">Цены!$AX$26</definedName>
    <definedName name="List_Zn05">Цены!$AZ$26</definedName>
    <definedName name="List_Zn055">Цены!$BB$26</definedName>
    <definedName name="List_Zn07">Цены!$BD$26</definedName>
    <definedName name="List_Zn08">Цены!$BF$26</definedName>
    <definedName name="List_Zn09">Цены!$BH$26</definedName>
    <definedName name="Modern_Atl">Цены!$P$10</definedName>
    <definedName name="Modern_dachPr">Цены!$AP$10</definedName>
    <definedName name="Modern_dachSk">Цены!$AR$10</definedName>
    <definedName name="Modern_Dr">Цены!$Z$10</definedName>
    <definedName name="Modern_K_Atl">Цены!$P$48</definedName>
    <definedName name="Modern_K_dachPr">Цены!$AP$48</definedName>
    <definedName name="Modern_K_dachSk">Цены!$AR$48</definedName>
    <definedName name="Modern_K_Dr">Цены!$Z$48</definedName>
    <definedName name="Modern_K_Pdx">Цены!$T$48</definedName>
    <definedName name="Modern_K_Pdxmatt">Цены!$V$48</definedName>
    <definedName name="Modern_K_Pe04">Цены!$AN$48</definedName>
    <definedName name="Modern_K_Pe045">Цены!$AL$48</definedName>
    <definedName name="Modern_K_Pe065">Цены!$AJ$48</definedName>
    <definedName name="Modern_K_Pe07">Цены!$AH$48</definedName>
    <definedName name="Modern_K_Pe08">Цены!$AF$48</definedName>
    <definedName name="Modern_K_PEdp">Цены!$AD$48</definedName>
    <definedName name="Modern_K_Pt">Цены!$F$48</definedName>
    <definedName name="Modern_K_Ptdach">Цены!$BJ$48</definedName>
    <definedName name="Modern_K_Ptdp">Цены!$D$48</definedName>
    <definedName name="Modern_K_PtNN">Цены!$BL$48</definedName>
    <definedName name="Modern_K_Pur">Цены!$R$48</definedName>
    <definedName name="Modern_K_Q">Цены!$J$48</definedName>
    <definedName name="Modern_K_Ql">Цены!$L$48</definedName>
    <definedName name="Modern_K_Sat">Цены!$AB$48</definedName>
    <definedName name="Modern_K_Sf">Цены!$H$48</definedName>
    <definedName name="Modern_K_StBarhat">Цены!$X$48</definedName>
    <definedName name="Modern_K_Vel">Цены!$N$48</definedName>
    <definedName name="Modern_Pdx">Цены!$T$10</definedName>
    <definedName name="Modern_Pdxmatt">Цены!$V$10</definedName>
    <definedName name="Modern_Pe04">Цены!$AN$10</definedName>
    <definedName name="Modern_Pe045">Цены!$AL$10</definedName>
    <definedName name="Modern_Pe065">Цены!$AJ$10</definedName>
    <definedName name="Modern_Pe07">Цены!$AH$10</definedName>
    <definedName name="Modern_Pe08">Цены!$AF$10</definedName>
    <definedName name="Modern_PEdp">Цены!$AD$10</definedName>
    <definedName name="Modern_Pt">Цены!$F$10</definedName>
    <definedName name="Modern_Ptdach">Цены!$BJ$10</definedName>
    <definedName name="Modern_Ptdp">Цены!$D$10</definedName>
    <definedName name="Modern_PtNN">Цены!$BL$10</definedName>
    <definedName name="Modern_Pur">Цены!$R$10</definedName>
    <definedName name="Modern_Q">Цены!$J$10</definedName>
    <definedName name="Modern_Ql">Цены!$L$10</definedName>
    <definedName name="Modern_Sat">Цены!$AB$10</definedName>
    <definedName name="Modern_Sf">Цены!$H$10</definedName>
    <definedName name="Modern_StBarhat">Цены!$X$10</definedName>
    <definedName name="Modern_Vel">Цены!$N$10</definedName>
    <definedName name="PnC10_Atl">Цены!$P$18</definedName>
    <definedName name="PnC10_dachPr">Цены!$AP$18</definedName>
    <definedName name="PnC10_dachSk">Цены!$AR$18</definedName>
    <definedName name="PnC10_Dr">Цены!$Z$18</definedName>
    <definedName name="PnC10_K_Atl">Цены!$P$55</definedName>
    <definedName name="PnC10_K_dachPr">Цены!$AP$55</definedName>
    <definedName name="PnC10_K_dachSk">Цены!$AR$55</definedName>
    <definedName name="PnC10_K_Dr">Цены!$Z$55</definedName>
    <definedName name="PnC10_K_Pdx">Цены!$T$55</definedName>
    <definedName name="PnC10_K_Pdxmatt">Цены!$V$55</definedName>
    <definedName name="PnC10_K_Pe04">Цены!$AN$55</definedName>
    <definedName name="PnC10_K_Pe045">Цены!$AL$55</definedName>
    <definedName name="PnC10_K_Pe065">Цены!$AJ$55</definedName>
    <definedName name="PnC10_K_Pe07">Цены!$AH$55</definedName>
    <definedName name="PnC10_K_Pe08">Цены!$AF$55</definedName>
    <definedName name="PnC10_K_PEdp">Цены!$AD$55</definedName>
    <definedName name="PnC10_K_Pt">Цены!$F$55</definedName>
    <definedName name="PnC10_K_Ptdach">Цены!$BJ$55</definedName>
    <definedName name="PnC10_K_Ptdp">Цены!$D$55</definedName>
    <definedName name="PnC10_K_PtNN">Цены!$BL$55</definedName>
    <definedName name="PnC10_K_Pur">Цены!$R$55</definedName>
    <definedName name="PnC10_K_Q">Цены!$J$55</definedName>
    <definedName name="PnC10_K_Ql">Цены!$L$55</definedName>
    <definedName name="PnC10_K_Sat">Цены!$AB$55</definedName>
    <definedName name="PnC10_K_Sf">Цены!$H$55</definedName>
    <definedName name="PnC10_K_StBarhat">Цены!$X$55</definedName>
    <definedName name="PnC10_K_Vel">Цены!$N$55</definedName>
    <definedName name="PnC10_K_Zn035">Цены!$AT$55</definedName>
    <definedName name="PnC10_K_Zn04">Цены!$AV$55</definedName>
    <definedName name="PnC10_K_Zn045">Цены!$AX$55</definedName>
    <definedName name="PnC10_K_Zn05">Цены!$AZ$55</definedName>
    <definedName name="PnC10_K_Zn055">Цены!$BB$55</definedName>
    <definedName name="PnC10_K_Zn07">Цены!$BD$55</definedName>
    <definedName name="PnC10_K_Zn08">Цены!$BF$55</definedName>
    <definedName name="PnC10_K_Zn09">Цены!$BH$55</definedName>
    <definedName name="PnC10_Pdx">Цены!$T$18</definedName>
    <definedName name="PnC10_Pdxmatt">Цены!$V$18</definedName>
    <definedName name="PnC10_Pe04">Цены!$AN$18</definedName>
    <definedName name="PnC10_Pe045">Цены!$AL$18</definedName>
    <definedName name="PnC10_Pe065">Цены!$AJ$18</definedName>
    <definedName name="PnC10_Pe07">Цены!$AH$18</definedName>
    <definedName name="PnC10_Pe08">Цены!$AF$18</definedName>
    <definedName name="PnC10_PEdp">Цены!$AD$18</definedName>
    <definedName name="PnC10_Pt">Цены!$F$18</definedName>
    <definedName name="PnC10_Ptdach">Цены!$BJ$18</definedName>
    <definedName name="PnC10_Ptdp">Цены!$D$18</definedName>
    <definedName name="PnC10_PtNN">Цены!$BL$18</definedName>
    <definedName name="PnC10_Pur">Цены!$R$18</definedName>
    <definedName name="PnC10_Q">Цены!$J$18</definedName>
    <definedName name="PnC10_Ql">Цены!$L$18</definedName>
    <definedName name="PnC10_Sat">Цены!$AB$18</definedName>
    <definedName name="PnC10_Sf">Цены!$H$18</definedName>
    <definedName name="PnC10_StBarhat">Цены!$X$18</definedName>
    <definedName name="PnC10_Vel">Цены!$N$18</definedName>
    <definedName name="PnC10_Zn035">Цены!$AT$18</definedName>
    <definedName name="PnC10_Zn04">Цены!$AV$18</definedName>
    <definedName name="PnC10_Zn045">Цены!$AX$18</definedName>
    <definedName name="PnC10_Zn05">Цены!$AZ$18</definedName>
    <definedName name="PnC10_Zn055">Цены!$BB$18</definedName>
    <definedName name="PnC10_Zn07">Цены!$BD$18</definedName>
    <definedName name="PnC10_Zn08">Цены!$BF$18</definedName>
    <definedName name="PnC10_Zn09">Цены!$BH$18</definedName>
    <definedName name="PnC10f_Atl">Цены!$P$19</definedName>
    <definedName name="PnC10f_dachPr">Цены!$AP$19</definedName>
    <definedName name="PnC10f_dachSk">Цены!$AR$19</definedName>
    <definedName name="PnC10f_Dr">Цены!$Z$19</definedName>
    <definedName name="PnC10f_K_Atl">Цены!$P$56</definedName>
    <definedName name="PnC10f_K_dachPr">Цены!$AP$56</definedName>
    <definedName name="PnC10f_K_dachSk">Цены!$AR$56</definedName>
    <definedName name="PnC10f_K_Dr">Цены!$Z$56</definedName>
    <definedName name="PnC10f_K_Pdx">Цены!$T$56</definedName>
    <definedName name="PnC10f_K_Pdxmatt">Цены!$V$56</definedName>
    <definedName name="PnC10f_K_Pe04">Цены!$AN$56</definedName>
    <definedName name="PnC10f_K_Pe045">Цены!$AL$56</definedName>
    <definedName name="PnC10f_K_Pe065">Цены!$AJ$56</definedName>
    <definedName name="PnC10f_K_Pe07">Цены!$AH$56</definedName>
    <definedName name="PnC10f_K_Pe08">Цены!$AF$56</definedName>
    <definedName name="PnC10f_K_PEdp">Цены!$AD$56</definedName>
    <definedName name="PnC10f_K_Pt">Цены!$F$56</definedName>
    <definedName name="PnC10f_K_Ptdach">Цены!$BJ$56</definedName>
    <definedName name="PnC10f_K_Ptdp">Цены!$D$56</definedName>
    <definedName name="PnC10f_K_PtNN">Цены!$BL$56</definedName>
    <definedName name="PnC10f_K_Pur">Цены!$R$56</definedName>
    <definedName name="PnC10f_K_Q">Цены!$J$56</definedName>
    <definedName name="PnC10f_K_Ql">Цены!$L$56</definedName>
    <definedName name="PnC10f_K_Sat">Цены!$AB$56</definedName>
    <definedName name="PnC10f_K_Sf">Цены!$H$56</definedName>
    <definedName name="PnC10f_K_StBarhat">Цены!$X$56</definedName>
    <definedName name="PnC10f_K_Vel">Цены!$N$56</definedName>
    <definedName name="PnC10f_K_Zn035">Цены!$AT$56</definedName>
    <definedName name="PnC10f_K_Zn04">Цены!$AV$56</definedName>
    <definedName name="PnC10f_K_Zn045">Цены!$AX$56</definedName>
    <definedName name="PnC10f_K_Zn05">Цены!$AZ$56</definedName>
    <definedName name="PnC10f_K_Zn055">Цены!$BB$56</definedName>
    <definedName name="PnC10f_K_Zn07">Цены!$BD$56</definedName>
    <definedName name="PnC10f_K_Zn08">Цены!$BF$56</definedName>
    <definedName name="PnC10f_K_Zn09">Цены!$BH$56</definedName>
    <definedName name="PnC10f_Pdx">Цены!$T$19</definedName>
    <definedName name="PnC10f_Pdxmatt">Цены!$V$19</definedName>
    <definedName name="PnC10f_Pe04">Цены!$AN$19</definedName>
    <definedName name="PnC10f_Pe045">Цены!$AL$19</definedName>
    <definedName name="PnC10f_Pe065">Цены!$AJ$19</definedName>
    <definedName name="PnC10f_Pe07">Цены!$AH$19</definedName>
    <definedName name="PnC10f_Pe08">Цены!$AF$19</definedName>
    <definedName name="PnC10f_PEdp">Цены!$AD$19</definedName>
    <definedName name="PnC10f_Pt">Цены!$F$19</definedName>
    <definedName name="PnC10f_Ptdach">Цены!$BJ$19</definedName>
    <definedName name="PnC10f_Ptdp">Цены!$D$19</definedName>
    <definedName name="PnC10f_PtNN">Цены!$BL$19</definedName>
    <definedName name="PnC10f_Pur">Цены!$R$19</definedName>
    <definedName name="PnC10f_Q">Цены!$J$19</definedName>
    <definedName name="PnC10f_Ql">Цены!$L$19</definedName>
    <definedName name="PnC10f_Sat">Цены!$AB$19</definedName>
    <definedName name="PnC10f_Sf">Цены!$H$19</definedName>
    <definedName name="PnC10f_StBarhat">Цены!$X$19</definedName>
    <definedName name="PnC10f_Vel">Цены!$N$19</definedName>
    <definedName name="PnC10f_Zn035">Цены!$AT$19</definedName>
    <definedName name="PnC10f_Zn04">Цены!$AV$19</definedName>
    <definedName name="PnC10f_Zn045">Цены!$AX$19</definedName>
    <definedName name="PnC10f_Zn05">Цены!$AZ$19</definedName>
    <definedName name="PnC10f_Zn055">Цены!$BB$19</definedName>
    <definedName name="PnC10f_Zn07">Цены!$BD$19</definedName>
    <definedName name="PnC10f_Zn08">Цены!$BF$19</definedName>
    <definedName name="PnC10f_Zn09">Цены!$BH$19</definedName>
    <definedName name="PnC20_Atl">Цены!$P$20</definedName>
    <definedName name="PnC20_dachPr">Цены!$AP$20</definedName>
    <definedName name="PnC20_dachSk">Цены!$AR$20</definedName>
    <definedName name="PnC20_Dr">Цены!$Z$20</definedName>
    <definedName name="PnC20_K_Atl">Цены!$P$57</definedName>
    <definedName name="PnC20_K_dachPr">Цены!$AP$57</definedName>
    <definedName name="PnC20_K_dachSk">Цены!$AR$57</definedName>
    <definedName name="PnC20_K_Dr">Цены!$Z$57</definedName>
    <definedName name="PnC20_K_Pdx">Цены!$T$57</definedName>
    <definedName name="PnC20_K_Pdxmatt">Цены!$V$57</definedName>
    <definedName name="PnC20_K_Pe04">Цены!$AN$57</definedName>
    <definedName name="PnC20_K_Pe045">Цены!$AL$57</definedName>
    <definedName name="PnC20_K_Pe065">Цены!$AJ$57</definedName>
    <definedName name="PnC20_K_Pe07">Цены!$AH$57</definedName>
    <definedName name="PnC20_K_Pe08">Цены!$AF$57</definedName>
    <definedName name="PnC20_K_PEdp">Цены!$AD$57</definedName>
    <definedName name="PnC20_K_Pt">Цены!$F$57</definedName>
    <definedName name="PnC20_K_Ptdach">Цены!$BJ$57</definedName>
    <definedName name="PnC20_K_Ptdp">Цены!$D$57</definedName>
    <definedName name="PnC20_K_PtNN">Цены!$BL$57</definedName>
    <definedName name="PnC20_K_Pur">Цены!$R$57</definedName>
    <definedName name="PnC20_K_Q">Цены!$J$57</definedName>
    <definedName name="PnC20_K_Ql">Цены!$L$57</definedName>
    <definedName name="PnC20_K_Sat">Цены!$AB$57</definedName>
    <definedName name="PnC20_K_Sf">Цены!$H$57</definedName>
    <definedName name="PnC20_K_StBarhat">Цены!$X$57</definedName>
    <definedName name="PnC20_K_Vel">Цены!$N$57</definedName>
    <definedName name="PnC20_K_Zn035">Цены!$AT$57</definedName>
    <definedName name="PnC20_K_Zn04">Цены!$AV$57</definedName>
    <definedName name="PnC20_K_Zn045">Цены!$AX$57</definedName>
    <definedName name="PnC20_K_Zn05">Цены!$AZ$57</definedName>
    <definedName name="PnC20_K_Zn055">Цены!$BB$57</definedName>
    <definedName name="PnC20_K_Zn07">Цены!$BD$57</definedName>
    <definedName name="PnC20_K_Zn08">Цены!$BF$57</definedName>
    <definedName name="PnC20_K_Zn09">Цены!$BH$57</definedName>
    <definedName name="PnC20_Pdx">Цены!$T$20</definedName>
    <definedName name="PnC20_Pdxmatt">Цены!$V$20</definedName>
    <definedName name="PnC20_Pe04">Цены!$AN$20</definedName>
    <definedName name="PnC20_Pe045">Цены!$AL$20</definedName>
    <definedName name="PnC20_Pe065">Цены!$AJ$20</definedName>
    <definedName name="PnC20_Pe07">Цены!$AH$20</definedName>
    <definedName name="PnC20_Pe08">Цены!$AF$20</definedName>
    <definedName name="PnC20_PEdp">Цены!$AD$20</definedName>
    <definedName name="PnC20_Pt">Цены!$F$20</definedName>
    <definedName name="PnC20_Ptdach">Цены!$BJ$20</definedName>
    <definedName name="PnC20_Ptdp">Цены!$D$20</definedName>
    <definedName name="PnC20_PtNN">Цены!$BL$20</definedName>
    <definedName name="PnC20_Pur">Цены!$R$20</definedName>
    <definedName name="PnC20_Q">Цены!$J$20</definedName>
    <definedName name="PnC20_Ql">Цены!$L$20</definedName>
    <definedName name="PnC20_Sat">Цены!$AB$20</definedName>
    <definedName name="PnC20_Sf">Цены!$H$20</definedName>
    <definedName name="PnC20_StBarhat">Цены!$X$20</definedName>
    <definedName name="PnC20_Vel">Цены!$N$20</definedName>
    <definedName name="PnC20_Zn035">Цены!$AT$20</definedName>
    <definedName name="PnC20_Zn04">Цены!$AV$20</definedName>
    <definedName name="PnC20_Zn045">Цены!$AX$20</definedName>
    <definedName name="PnC20_Zn05">Цены!$AZ$20</definedName>
    <definedName name="PnC20_Zn055">Цены!$BB$20</definedName>
    <definedName name="PnC20_Zn07">Цены!$BD$20</definedName>
    <definedName name="PnC20_Zn08">Цены!$BF$20</definedName>
    <definedName name="PnC20_Zn09">Цены!$BH$20</definedName>
    <definedName name="PnC21_Atl">Цены!$P$21</definedName>
    <definedName name="PnC21_dachPr">Цены!$AP$21</definedName>
    <definedName name="PnC21_dachSk">Цены!$AR$21</definedName>
    <definedName name="PnC21_Dr">Цены!$Z$21</definedName>
    <definedName name="PnC21_K_Atl">Цены!$P$58</definedName>
    <definedName name="PnC21_K_dachPr">Цены!$AP$58</definedName>
    <definedName name="PnC21_K_dachSk">Цены!$AR$58</definedName>
    <definedName name="PnC21_K_Dr">Цены!$Z$58</definedName>
    <definedName name="PnC21_K_Pdx">Цены!$T$58</definedName>
    <definedName name="PnC21_K_Pdxmatt">Цены!$V$58</definedName>
    <definedName name="PnC21_K_Pe04">Цены!$AN$58</definedName>
    <definedName name="PnC21_K_Pe045">Цены!$AL$58</definedName>
    <definedName name="PnC21_K_Pe065">Цены!$AJ$58</definedName>
    <definedName name="PnC21_K_Pe07">Цены!$AH$58</definedName>
    <definedName name="PnC21_K_Pe08">Цены!$AF$58</definedName>
    <definedName name="PnC21_K_PEdp">Цены!$AD$58</definedName>
    <definedName name="PnC21_K_Pt">Цены!$F$58</definedName>
    <definedName name="PnC21_K_Ptdach">Цены!$BJ$58</definedName>
    <definedName name="PnC21_K_Ptdp">Цены!$D$58</definedName>
    <definedName name="PnC21_K_PtNN">Цены!$BL$58</definedName>
    <definedName name="PnC21_K_Pur">Цены!$R$58</definedName>
    <definedName name="PnC21_K_Q">Цены!$J$58</definedName>
    <definedName name="PnC21_K_Ql">Цены!$L$58</definedName>
    <definedName name="PnC21_K_Sat">Цены!$AB$58</definedName>
    <definedName name="PnC21_K_Sf">Цены!$H$58</definedName>
    <definedName name="PnC21_K_StBarhat">Цены!$X$58</definedName>
    <definedName name="PnC21_K_Vel">Цены!$N$58</definedName>
    <definedName name="PnC21_K_Zn035">Цены!$AT$58</definedName>
    <definedName name="PnC21_K_Zn04">Цены!$AV$58</definedName>
    <definedName name="PnC21_K_Zn045">Цены!$AX$58</definedName>
    <definedName name="PnC21_K_Zn05">Цены!$AZ$58</definedName>
    <definedName name="PnC21_K_Zn055">Цены!$BB$58</definedName>
    <definedName name="PnC21_K_Zn07">Цены!$BD$58</definedName>
    <definedName name="PnC21_K_Zn08">Цены!$BF$58</definedName>
    <definedName name="PnC21_K_Zn09">Цены!$BH$58</definedName>
    <definedName name="PnC21_Pdx">Цены!$T$21</definedName>
    <definedName name="PnC21_Pdxmatt">Цены!$V$21</definedName>
    <definedName name="PnC21_Pe04">Цены!$AN$21</definedName>
    <definedName name="PnC21_Pe045">Цены!$AL$21</definedName>
    <definedName name="PnC21_Pe065">Цены!$AJ$21</definedName>
    <definedName name="PnC21_Pe07">Цены!$AH$21</definedName>
    <definedName name="PnC21_Pe08">Цены!$AF$21</definedName>
    <definedName name="PnC21_PEdp">Цены!$AD$21</definedName>
    <definedName name="PnC21_Pt">Цены!$F$21</definedName>
    <definedName name="PnC21_Ptdach">Цены!$BJ$21</definedName>
    <definedName name="PnC21_Ptdp">Цены!$D$21</definedName>
    <definedName name="PnC21_PtNN">Цены!$BL$21</definedName>
    <definedName name="PnC21_Pur">Цены!$R$21</definedName>
    <definedName name="PnC21_Q">Цены!$J$21</definedName>
    <definedName name="PnC21_Ql">Цены!$L$21</definedName>
    <definedName name="PnC21_Sat">Цены!$AB$21</definedName>
    <definedName name="PnC21_Sf">Цены!$H$21</definedName>
    <definedName name="PnC21_StBarhat">Цены!$X$21</definedName>
    <definedName name="PnC21_Vel">Цены!$N$21</definedName>
    <definedName name="PnC21_Zn035">Цены!$AT$21</definedName>
    <definedName name="PnC21_Zn04">Цены!$AV$21</definedName>
    <definedName name="PnC21_Zn045">Цены!$AX$21</definedName>
    <definedName name="PnC21_Zn05">Цены!$AZ$21</definedName>
    <definedName name="PnC21_Zn055">Цены!$BB$21</definedName>
    <definedName name="PnC21_Zn07">Цены!$BD$21</definedName>
    <definedName name="PnC21_Zn08">Цены!$BF$21</definedName>
    <definedName name="PnC21_Zn09">Цены!$BH$21</definedName>
    <definedName name="PnC8_Atl">Цены!$P$16</definedName>
    <definedName name="PnC8_dachPr">Цены!$AP$16</definedName>
    <definedName name="PnC8_dachSk">Цены!$AR$16</definedName>
    <definedName name="PnC8_Dr">Цены!$Z$16</definedName>
    <definedName name="PnC8_K_Atl">Цены!$P$54</definedName>
    <definedName name="PnC8_K_dachPr">Цены!$AP$54</definedName>
    <definedName name="PnC8_K_dachSk">Цены!$AR$54</definedName>
    <definedName name="PnC8_K_Dr">Цены!$Z$54</definedName>
    <definedName name="PnC8_K_Pdx">Цены!$T$54</definedName>
    <definedName name="PnC8_K_Pdxmatt">Цены!$V$54</definedName>
    <definedName name="PnC8_K_Pe04">Цены!$AN$54</definedName>
    <definedName name="PnC8_K_Pe045">Цены!$AL$54</definedName>
    <definedName name="PnC8_K_Pe065">Цены!$AJ$54</definedName>
    <definedName name="PnC8_K_Pe07">Цены!$AH$54</definedName>
    <definedName name="PnC8_K_Pe08">Цены!$AF$54</definedName>
    <definedName name="PnC8_K_PEdp">Цены!$AD$54</definedName>
    <definedName name="PnC8_K_Pt">Цены!$F$54</definedName>
    <definedName name="PnC8_K_Ptdach">Цены!$BJ$54</definedName>
    <definedName name="PnC8_K_Ptdp">Цены!$D$54</definedName>
    <definedName name="PnC8_K_PtNN">Цены!$BL$54</definedName>
    <definedName name="PnC8_K_Pur">Цены!$R$54</definedName>
    <definedName name="PnC8_K_Q">Цены!$J$54</definedName>
    <definedName name="PnC8_K_Ql">Цены!$L$54</definedName>
    <definedName name="PnC8_K_Sat">Цены!$AB$54</definedName>
    <definedName name="PnC8_K_Sf">Цены!$H$54</definedName>
    <definedName name="PnC8_K_StBarhat">Цены!$X$54</definedName>
    <definedName name="PnC8_K_Vel">Цены!$N$54</definedName>
    <definedName name="PnC8_K_Zn035">Цены!$AT$54</definedName>
    <definedName name="PnC8_K_Zn04">Цены!$AV$54</definedName>
    <definedName name="PnC8_K_Zn045">Цены!$AX$54</definedName>
    <definedName name="PnC8_K_Zn05">Цены!$AZ$54</definedName>
    <definedName name="PnC8_K_Zn055">Цены!$BB$54</definedName>
    <definedName name="PnC8_K_Zn07">Цены!$BD$54</definedName>
    <definedName name="PnC8_K_Zn08">Цены!$BF$54</definedName>
    <definedName name="PnC8_K_Zn09">Цены!$BH$54</definedName>
    <definedName name="PnC8_Pdx">Цены!$T$16</definedName>
    <definedName name="PnC8_Pdxmatt">Цены!$V$16</definedName>
    <definedName name="PnC8_Pe04">Цены!$AN$16</definedName>
    <definedName name="PnC8_Pe045">Цены!$AL$16</definedName>
    <definedName name="PnC8_Pe065">Цены!$AJ$16</definedName>
    <definedName name="PnC8_Pe07">Цены!$AH$16</definedName>
    <definedName name="PnC8_Pe08">Цены!$AF$16</definedName>
    <definedName name="PnC8_PEdp">Цены!$AD$16</definedName>
    <definedName name="PnC8_Pt">Цены!$F$16</definedName>
    <definedName name="PnC8_Ptdach">Цены!$BJ$16</definedName>
    <definedName name="PnC8_Ptdp">Цены!$D$16</definedName>
    <definedName name="PnC8_PtNN">Цены!$BL$16</definedName>
    <definedName name="PnC8_Pur">Цены!$R$16</definedName>
    <definedName name="PnC8_Q">Цены!$J$16</definedName>
    <definedName name="PnC8_Ql">Цены!$L$16</definedName>
    <definedName name="PnC8_Sat">Цены!$AB$16</definedName>
    <definedName name="PnC8_Sf">Цены!$H$16</definedName>
    <definedName name="PnC8_StBarhat">Цены!$X$16</definedName>
    <definedName name="PnC8_Vel">Цены!$N$16</definedName>
    <definedName name="PnC8_Zn035">Цены!$AT$16</definedName>
    <definedName name="PnC8_Zn04">Цены!$AV$16</definedName>
    <definedName name="PnC8_Zn045">Цены!$AX$16</definedName>
    <definedName name="PnC8_Zn05">Цены!$AZ$16</definedName>
    <definedName name="PnC8_Zn055">Цены!$BB$16</definedName>
    <definedName name="PnC8_Zn07">Цены!$BD$16</definedName>
    <definedName name="PnC8_Zn08">Цены!$BF$16</definedName>
    <definedName name="PnC8_Zn09">Цены!$BH$16</definedName>
    <definedName name="PnC8Uno_Pe045">Цены!$AL$17</definedName>
    <definedName name="PnH60_Atl">Цены!$P$23</definedName>
    <definedName name="PnH60_dachPr">Цены!$AP$23</definedName>
    <definedName name="PnH60_dachSk">Цены!$AR$23</definedName>
    <definedName name="PnH60_Dr">Цены!$Z$23</definedName>
    <definedName name="PnH60_K_Atl">Цены!$P$60</definedName>
    <definedName name="PnH60_K_dachPr">Цены!$AP$60</definedName>
    <definedName name="PnH60_K_dachSk">Цены!$AR$60</definedName>
    <definedName name="PnH60_K_Dr">Цены!$Z$60</definedName>
    <definedName name="PnH60_K_Pdx">Цены!$T$60</definedName>
    <definedName name="PnH60_K_Pdxmatt">Цены!$V$60</definedName>
    <definedName name="PnH60_K_Pe04">Цены!$AN$60</definedName>
    <definedName name="PnH60_K_Pe045">Цены!$AL$60</definedName>
    <definedName name="PnH60_K_Pe065">Цены!$AJ$60</definedName>
    <definedName name="PnH60_K_Pe07">Цены!$AH$60</definedName>
    <definedName name="PnH60_K_Pe08">Цены!$AF$60</definedName>
    <definedName name="PnH60_K_PEdp">Цены!$AD$60</definedName>
    <definedName name="PnH60_K_Pt">Цены!$F$60</definedName>
    <definedName name="PnH60_K_Ptdach">Цены!$BJ$60</definedName>
    <definedName name="PnH60_K_Ptdp">Цены!$D$60</definedName>
    <definedName name="PnH60_K_PtNN">Цены!$BL$60</definedName>
    <definedName name="PnH60_K_Pur">Цены!$R$60</definedName>
    <definedName name="PnH60_K_Q">Цены!$J$60</definedName>
    <definedName name="PnH60_K_Ql">Цены!$L$60</definedName>
    <definedName name="PnH60_K_Sat">Цены!$AB$60</definedName>
    <definedName name="PnH60_K_Sf">Цены!$H$60</definedName>
    <definedName name="PnH60_K_StBarhat">Цены!$X$60</definedName>
    <definedName name="PnH60_K_Vel">Цены!$N$60</definedName>
    <definedName name="PnH60_K_Zn035">Цены!$AT$60</definedName>
    <definedName name="PnH60_K_Zn04">Цены!$AV$60</definedName>
    <definedName name="PnH60_K_Zn045">Цены!$AX$60</definedName>
    <definedName name="PnH60_K_Zn05">Цены!$AZ$60</definedName>
    <definedName name="PnH60_K_Zn055">Цены!$BB$60</definedName>
    <definedName name="PnH60_K_Zn07">Цены!$BD$60</definedName>
    <definedName name="PnH60_K_Zn08">Цены!$BF$60</definedName>
    <definedName name="PnH60_K_Zn09">Цены!$BH$60</definedName>
    <definedName name="PnH60_Pdx">Цены!$T$23</definedName>
    <definedName name="PnH60_Pdxmatt">Цены!$V$23</definedName>
    <definedName name="PnH60_Pe04">Цены!$AN$23</definedName>
    <definedName name="PnH60_Pe045">Цены!$AL$23</definedName>
    <definedName name="PnH60_Pe065">Цены!$AJ$23</definedName>
    <definedName name="PnH60_Pe07">Цены!$AH$23</definedName>
    <definedName name="PnH60_Pe08">Цены!$AF$23</definedName>
    <definedName name="PnH60_PEdp">Цены!$AD$23</definedName>
    <definedName name="PnH60_Pt">Цены!$F$23</definedName>
    <definedName name="PnH60_Ptdach">Цены!$BJ$23</definedName>
    <definedName name="PnH60_Ptdp">Цены!$D$23</definedName>
    <definedName name="PnH60_PtNN">Цены!$BL$23</definedName>
    <definedName name="PnH60_Pur">Цены!$R$23</definedName>
    <definedName name="PnH60_Q">Цены!$J$23</definedName>
    <definedName name="PnH60_Ql">Цены!$L$23</definedName>
    <definedName name="PnH60_Sat">Цены!$AB$23</definedName>
    <definedName name="PnH60_Sf">Цены!$H$23</definedName>
    <definedName name="PnH60_StBarhat">Цены!$X$23</definedName>
    <definedName name="PnH60_Vel">Цены!$N$23</definedName>
    <definedName name="PnH60_Zn035">Цены!$AT$23</definedName>
    <definedName name="PnH60_Zn04">Цены!$AV$23</definedName>
    <definedName name="PnH60_Zn045">Цены!$AX$23</definedName>
    <definedName name="PnH60_Zn05">Цены!$AZ$23</definedName>
    <definedName name="PnH60_Zn055">Цены!$BB$23</definedName>
    <definedName name="PnH60_Zn07">Цены!$BD$23</definedName>
    <definedName name="PnH60_Zn08">Цены!$BF$23</definedName>
    <definedName name="PnH60_Zn09">Цены!$BH$23</definedName>
    <definedName name="PnH75_Atl">Цены!$P$24</definedName>
    <definedName name="PnH75_dachPr">Цены!$AP$24</definedName>
    <definedName name="PnH75_dachSk">Цены!$AR$24</definedName>
    <definedName name="PnH75_Dr">Цены!$Z$24</definedName>
    <definedName name="PnH75_K_Atl">Цены!$P$61</definedName>
    <definedName name="PnH75_K_dachPr">Цены!$AP$61</definedName>
    <definedName name="PnH75_K_dachSk">Цены!$AR$61</definedName>
    <definedName name="PnH75_K_Dr">Цены!$Z$61</definedName>
    <definedName name="PnH75_K_Pdx">Цены!$T$61</definedName>
    <definedName name="PnH75_K_Pdxmatt">Цены!$V$61</definedName>
    <definedName name="PnH75_K_Pe04">Цены!$AN$61</definedName>
    <definedName name="PnH75_K_Pe045">Цены!$AL$61</definedName>
    <definedName name="PnH75_K_Pe065">Цены!$AJ$61</definedName>
    <definedName name="PnH75_K_Pe07">Цены!$AH$61</definedName>
    <definedName name="PnH75_K_Pe08">Цены!$AF$61</definedName>
    <definedName name="PnH75_K_PEdp">Цены!$AD$61</definedName>
    <definedName name="PnH75_K_Pt">Цены!$F$61</definedName>
    <definedName name="PnH75_K_Ptdach">Цены!$BJ$61</definedName>
    <definedName name="PnH75_K_Ptdp">Цены!$D$61</definedName>
    <definedName name="PnH75_K_PtNN">Цены!$BL$61</definedName>
    <definedName name="PnH75_K_Pur">Цены!$R$61</definedName>
    <definedName name="PnH75_K_Q">Цены!$J$61</definedName>
    <definedName name="PnH75_K_Ql">Цены!$L$61</definedName>
    <definedName name="PnH75_K_Sat">Цены!$AB$61</definedName>
    <definedName name="PnH75_K_Sf">Цены!$H$61</definedName>
    <definedName name="PnH75_K_StBarhat">Цены!$X$61</definedName>
    <definedName name="PnH75_K_Vel">Цены!$N$61</definedName>
    <definedName name="PnH75_K_Zn035">Цены!$AT$61</definedName>
    <definedName name="PnH75_K_Zn04">Цены!$AV$61</definedName>
    <definedName name="PnH75_K_Zn045">Цены!$AX$61</definedName>
    <definedName name="PnH75_K_Zn05">Цены!$AZ$61</definedName>
    <definedName name="PnH75_K_Zn055">Цены!$BB$61</definedName>
    <definedName name="PnH75_K_Zn07">Цены!$BD$61</definedName>
    <definedName name="PnH75_K_Zn08">Цены!$BF$61</definedName>
    <definedName name="PnH75_K_Zn09">Цены!$BH$61</definedName>
    <definedName name="PnH75_Pdx">Цены!$T$24</definedName>
    <definedName name="PnH75_Pdxmatt">Цены!$V$24</definedName>
    <definedName name="PnH75_Pe04">Цены!$AN$24</definedName>
    <definedName name="PnH75_Pe045">Цены!$AL$24</definedName>
    <definedName name="PnH75_Pe065">Цены!$AJ$24</definedName>
    <definedName name="PnH75_Pe07">Цены!$AH$24</definedName>
    <definedName name="PnH75_Pe08">Цены!$AF$24</definedName>
    <definedName name="PnH75_PEdp">Цены!$AD$24</definedName>
    <definedName name="PnH75_Pt">Цены!$F$24</definedName>
    <definedName name="PnH75_Ptdach">Цены!$BJ$24</definedName>
    <definedName name="PnH75_Ptdp">Цены!$D$24</definedName>
    <definedName name="PnH75_PtNN">Цены!$BL$24</definedName>
    <definedName name="PnH75_Pur">Цены!$R$24</definedName>
    <definedName name="PnH75_Q">Цены!$J$24</definedName>
    <definedName name="PnH75_Ql">Цены!$L$24</definedName>
    <definedName name="PnH75_Sat">Цены!$AB$24</definedName>
    <definedName name="PnH75_Sf">Цены!$H$24</definedName>
    <definedName name="PnH75_StBarhat">Цены!$X$24</definedName>
    <definedName name="PnH75_Vel">Цены!$N$24</definedName>
    <definedName name="PnH75_Zn035">Цены!$AT$24</definedName>
    <definedName name="PnH75_Zn04">Цены!$AV$24</definedName>
    <definedName name="PnH75_Zn045">Цены!$AX$24</definedName>
    <definedName name="PnH75_Zn05">Цены!$AZ$24</definedName>
    <definedName name="PnH75_Zn055">Цены!$BB$24</definedName>
    <definedName name="PnH75_Zn07">Цены!$BD$24</definedName>
    <definedName name="PnH75_Zn08">Цены!$BF$24</definedName>
    <definedName name="PnH75_Zn09">Цены!$BH$24</definedName>
    <definedName name="PnHC35_Atl">Цены!$P$22</definedName>
    <definedName name="PnHC35_dachPr">Цены!$AP$22</definedName>
    <definedName name="PnHC35_dachSk">Цены!$AR$22</definedName>
    <definedName name="PnHC35_Dr">Цены!$Z$22</definedName>
    <definedName name="PnHC35_K_Atl">Цены!$P$59</definedName>
    <definedName name="PnHC35_K_dachPr">Цены!$AP$59</definedName>
    <definedName name="PnHC35_K_dachSk">Цены!$AR$59</definedName>
    <definedName name="PnHC35_K_Dr">Цены!$Z$59</definedName>
    <definedName name="PnHC35_K_Pdx">Цены!$T$59</definedName>
    <definedName name="PnHC35_K_Pdxmatt">Цены!$V$59</definedName>
    <definedName name="PnHC35_K_Pe04">Цены!$AN$59</definedName>
    <definedName name="PnHC35_K_Pe045">Цены!$AL$59</definedName>
    <definedName name="PnHC35_K_Pe065">Цены!$AJ$59</definedName>
    <definedName name="PnHC35_K_Pe07">Цены!$AH$59</definedName>
    <definedName name="PnHC35_K_Pe08">Цены!$AF$59</definedName>
    <definedName name="PnHC35_K_PEdp">Цены!$AD$59</definedName>
    <definedName name="PnHC35_K_Pt">Цены!$F$59</definedName>
    <definedName name="PnHC35_K_Ptdach">Цены!$BJ$59</definedName>
    <definedName name="PnHC35_K_Ptdp">Цены!$D$59</definedName>
    <definedName name="PnHC35_K_PtNN">Цены!$BL$59</definedName>
    <definedName name="PnHC35_K_Pur">Цены!$R$59</definedName>
    <definedName name="PnHC35_K_Q">Цены!$J$59</definedName>
    <definedName name="PnHC35_K_Ql">Цены!$L$59</definedName>
    <definedName name="PnHC35_K_Sat">Цены!$AB$59</definedName>
    <definedName name="PnHC35_K_Sf">Цены!$H$59</definedName>
    <definedName name="PnHC35_K_StBarhat">Цены!$X$59</definedName>
    <definedName name="PnHC35_K_Vel">Цены!$N$59</definedName>
    <definedName name="PnHC35_K_Zn035">Цены!$AT$59</definedName>
    <definedName name="PnHC35_K_Zn04">Цены!$AV$59</definedName>
    <definedName name="PnHC35_K_Zn045">Цены!$AX$59</definedName>
    <definedName name="PnHC35_K_Zn05">Цены!$AZ$59</definedName>
    <definedName name="PnHC35_K_Zn055">Цены!$BB$59</definedName>
    <definedName name="PnHC35_K_Zn07">Цены!$BD$59</definedName>
    <definedName name="PnHC35_K_Zn08">Цены!$BF$59</definedName>
    <definedName name="PnHC35_K_Zn09">Цены!$BH$59</definedName>
    <definedName name="PnHC35_Pdx">Цены!$T$22</definedName>
    <definedName name="PnHC35_Pdxmatt">Цены!$V$22</definedName>
    <definedName name="PnHC35_Pe04">Цены!$AN$22</definedName>
    <definedName name="PnHC35_Pe045">Цены!$AL$22</definedName>
    <definedName name="PnHC35_Pe065">Цены!$AJ$22</definedName>
    <definedName name="PnHC35_Pe07">Цены!$AH$22</definedName>
    <definedName name="PnHC35_Pe08">Цены!$AF$22</definedName>
    <definedName name="PnHC35_PEdp">Цены!$AD$22</definedName>
    <definedName name="PnHC35_Pt">Цены!$F$22</definedName>
    <definedName name="PnHC35_Ptdach">Цены!$BJ$22</definedName>
    <definedName name="PnHC35_Ptdp">Цены!$D$22</definedName>
    <definedName name="PnHC35_PtNN">Цены!$BL$22</definedName>
    <definedName name="PnHC35_Pur">Цены!$R$22</definedName>
    <definedName name="PnHC35_Q">Цены!$J$22</definedName>
    <definedName name="PnHC35_Ql">Цены!$L$22</definedName>
    <definedName name="PnHC35_Sat">Цены!$AB$22</definedName>
    <definedName name="PnHC35_Sf">Цены!$H$22</definedName>
    <definedName name="PnHC35_StBarhat">Цены!$X$22</definedName>
    <definedName name="PnHC35_Vel">Цены!$N$22</definedName>
    <definedName name="PnHC35_Zn035">Цены!$AT$22</definedName>
    <definedName name="PnHC35_Zn04">Цены!$AV$22</definedName>
    <definedName name="PnHC35_Zn045">Цены!$AX$22</definedName>
    <definedName name="PnHC35_Zn05">Цены!$AZ$22</definedName>
    <definedName name="PnHC35_Zn055">Цены!$BB$22</definedName>
    <definedName name="PnHC35_Zn07">Цены!$BD$22</definedName>
    <definedName name="PnHC35_Zn08">Цены!$BF$22</definedName>
    <definedName name="PnHC35_Zn09">Цены!$BH$22</definedName>
    <definedName name="S_BHaus_Atl">Цены!$P$30</definedName>
    <definedName name="S_BHaus_dachPr">Цены!$AP$30</definedName>
    <definedName name="S_BHaus_dachSk">Цены!$AR$30</definedName>
    <definedName name="S_BHaus_Dr">Цены!$Z$30</definedName>
    <definedName name="S_BHaus_Pdx">Цены!$T$30</definedName>
    <definedName name="S_BHaus_Pdxmatt">Цены!$V$30</definedName>
    <definedName name="S_BHaus_Pe04">Цены!$AN$30</definedName>
    <definedName name="S_BHaus_Pe045">Цены!$AL$30</definedName>
    <definedName name="S_BHaus_Pe065">Цены!$AJ$30</definedName>
    <definedName name="S_BHaus_Pe07">Цены!$AH$30</definedName>
    <definedName name="S_BHaus_Pe08">Цены!$AF$30</definedName>
    <definedName name="S_BHaus_PEdp">Цены!$AD$30</definedName>
    <definedName name="S_BHaus_Pt">Цены!$F$30</definedName>
    <definedName name="S_BHaus_Ptdach">Цены!$BJ$30</definedName>
    <definedName name="S_BHaus_Ptdp">Цены!$D$30</definedName>
    <definedName name="S_BHaus_PtNN">Цены!$BL$30</definedName>
    <definedName name="S_BHaus_Pur">Цены!$R$30</definedName>
    <definedName name="S_BHaus_Q">Цены!$J$30</definedName>
    <definedName name="S_BHaus_Ql">Цены!$L$30</definedName>
    <definedName name="S_BHaus_Sat">Цены!$AB$30</definedName>
    <definedName name="S_BHaus_Sf">Цены!$H$30</definedName>
    <definedName name="S_BHaus_StBarhat">Цены!$X$30</definedName>
    <definedName name="S_BHaus_Vel">Цены!$N$30</definedName>
    <definedName name="S_BHausNew_Atl">Цены!$P$31</definedName>
    <definedName name="S_BHausNew_dachPr">Цены!$AP$31</definedName>
    <definedName name="S_BHausNew_dachSk">Цены!$AR$31</definedName>
    <definedName name="S_BHausNew_Dr">Цены!$Z$31</definedName>
    <definedName name="S_BHausNew_K_Atl">Цены!$P$68</definedName>
    <definedName name="S_BHausNew_K_dachPr">Цены!$AP$68</definedName>
    <definedName name="S_BHausNew_K_dachSk">Цены!$AR$68</definedName>
    <definedName name="S_BHausNew_K_Dr">Цены!$Z$68</definedName>
    <definedName name="S_BHausNew_K_Pdx">Цены!$T$68</definedName>
    <definedName name="S_BHausNew_K_Pdxmatt">Цены!$V$68</definedName>
    <definedName name="S_BHausNew_K_Pe04">Цены!$AN$68</definedName>
    <definedName name="S_BHausNew_K_Pe045">Цены!$AL$68</definedName>
    <definedName name="S_BHausNew_K_Pe065">Цены!$AJ$68</definedName>
    <definedName name="S_BHausNew_K_Pe07">Цены!$AH$68</definedName>
    <definedName name="S_BHausNew_K_Pe08">Цены!$AF$68</definedName>
    <definedName name="S_BHausNew_K_PEdp">Цены!$AD$68</definedName>
    <definedName name="S_BHausNew_K_Pt">Цены!$F$68</definedName>
    <definedName name="S_BHausNew_K_Ptdach">Цены!$BJ$68</definedName>
    <definedName name="S_BHausNew_K_Ptdp">Цены!$D$68</definedName>
    <definedName name="S_BHausNew_K_PtNN">Цены!$BL$68</definedName>
    <definedName name="S_BHausNew_K_Pur">Цены!$R$68</definedName>
    <definedName name="S_BHausNew_K_Q">Цены!$J$68</definedName>
    <definedName name="S_BHausNew_K_Ql">Цены!$L$68</definedName>
    <definedName name="S_BHausNew_K_Sat">Цены!$AB$68</definedName>
    <definedName name="S_BHausNew_K_Sf">Цены!$H$68</definedName>
    <definedName name="S_BHausNew_K_StBarhat">Цены!$X$68</definedName>
    <definedName name="S_BHausNew_K_Vel">Цены!$N$68</definedName>
    <definedName name="S_BHausNew_Pdx">Цены!$T$31</definedName>
    <definedName name="S_BHausNew_Pdxmatt">Цены!$V$31</definedName>
    <definedName name="S_BHausNew_Pe04">Цены!$AN$31</definedName>
    <definedName name="S_BHausNew_Pe045">Цены!$AL$31</definedName>
    <definedName name="S_BHausNew_Pe065">Цены!$AJ$31</definedName>
    <definedName name="S_BHausNew_Pe07">Цены!$AH$31</definedName>
    <definedName name="S_BHausNew_Pe08">Цены!$AF$31</definedName>
    <definedName name="S_BHausNew_PEdp">Цены!$AD$31</definedName>
    <definedName name="S_BHausNew_Pt">Цены!$F$31</definedName>
    <definedName name="S_BHausNew_Ptdach">Цены!$BJ$31</definedName>
    <definedName name="S_BHausNew_Ptdp">Цены!$D$31</definedName>
    <definedName name="S_BHausNew_PtNN">Цены!$BL$31</definedName>
    <definedName name="S_BHausNew_Pur">Цены!$R$31</definedName>
    <definedName name="S_BHausNew_Q">Цены!$J$31</definedName>
    <definedName name="S_BHausNew_Ql">Цены!$L$31</definedName>
    <definedName name="S_BHausNew_Sat">Цены!$AB$31</definedName>
    <definedName name="S_BHausNew_Sf">Цены!$H$31</definedName>
    <definedName name="S_BHausNew_StBarhat">Цены!$X$31</definedName>
    <definedName name="S_BHausNew_Vel">Цены!$N$31</definedName>
    <definedName name="S_EBrus_Atl">Цены!$P$29</definedName>
    <definedName name="S_EBrus_dachPr">Цены!$AP$29</definedName>
    <definedName name="S_EBrus_dachSk">Цены!$AR$29</definedName>
    <definedName name="S_EBrus_Dr">Цены!$Z$29</definedName>
    <definedName name="S_EBrus_Pdx">Цены!$T$29</definedName>
    <definedName name="S_EBrus_Pdxmatt">Цены!$V$29</definedName>
    <definedName name="S_EBrus_Pe04">Цены!$AN$29</definedName>
    <definedName name="S_EBrus_Pe045">Цены!$AL$29</definedName>
    <definedName name="S_EBrus_Pe065">Цены!$AJ$29</definedName>
    <definedName name="S_EBrus_Pe07">Цены!$AH$29</definedName>
    <definedName name="S_EBrus_Pe08">Цены!$AF$29</definedName>
    <definedName name="S_EBrus_PEdp">Цены!$AD$29</definedName>
    <definedName name="S_EBrus_Pt">Цены!$F$29</definedName>
    <definedName name="S_EBrus_Ptdach">Цены!$BJ$29</definedName>
    <definedName name="S_EBrus_Ptdp">Цены!$D$29</definedName>
    <definedName name="S_EBrus_PtNN">Цены!$BL$29</definedName>
    <definedName name="S_EBrus_Pur">Цены!$R$29</definedName>
    <definedName name="S_EBrus_Q">Цены!$J$29</definedName>
    <definedName name="S_EBrus_Ql">Цены!$L$29</definedName>
    <definedName name="S_EBrus_Sat">Цены!$AB$29</definedName>
    <definedName name="S_EBrus_Sf">Цены!$H$29</definedName>
    <definedName name="S_EBrus_StBarhat">Цены!$X$29</definedName>
    <definedName name="S_EBrus_Vel">Цены!$N$29</definedName>
    <definedName name="s_K_BHaus_K_Atl">Цены!$P$67</definedName>
    <definedName name="s_K_BHaus_K_dachPr">Цены!$AP$67</definedName>
    <definedName name="s_K_BHaus_K_dachSk">Цены!$AR$67</definedName>
    <definedName name="s_K_BHaus_K_Dr">Цены!$Z$67</definedName>
    <definedName name="s_K_BHaus_K_Pdx">Цены!$T$67</definedName>
    <definedName name="s_K_BHaus_K_Pdxmatt">Цены!$V$67</definedName>
    <definedName name="s_K_BHaus_K_Pe04">Цены!$AN$67</definedName>
    <definedName name="s_K_BHaus_K_Pe045">Цены!$AL$67</definedName>
    <definedName name="s_K_BHaus_K_Pe065">Цены!$AJ$67</definedName>
    <definedName name="s_K_BHaus_K_Pe07">Цены!$AH$67</definedName>
    <definedName name="s_K_BHaus_K_Pe08">Цены!$AF$67</definedName>
    <definedName name="s_K_BHaus_K_PEdp">Цены!$AD$67</definedName>
    <definedName name="s_K_BHaus_K_Pt">Цены!$F$67</definedName>
    <definedName name="s_K_BHaus_K_Ptdach">Цены!$BJ$67</definedName>
    <definedName name="s_K_BHaus_K_Ptdp">Цены!$D$67</definedName>
    <definedName name="s_K_BHaus_K_PtNN">Цены!$BL$67</definedName>
    <definedName name="s_K_BHaus_K_Pur">Цены!$R$67</definedName>
    <definedName name="s_K_BHaus_K_Q">Цены!$J$67</definedName>
    <definedName name="s_K_BHaus_K_Ql">Цены!$L$67</definedName>
    <definedName name="s_K_BHaus_K_Sat">Цены!$AB$67</definedName>
    <definedName name="s_K_BHaus_K_Sf">Цены!$H$67</definedName>
    <definedName name="s_K_BHaus_K_StBarhat">Цены!$X$67</definedName>
    <definedName name="s_K_BHaus_K_Vel">Цены!$N$67</definedName>
    <definedName name="s_K_EBrus_K_Atl">Цены!$P$66</definedName>
    <definedName name="s_K_EBrus_K_dachPr">Цены!$AP$66</definedName>
    <definedName name="s_K_EBrus_K_dachSk">Цены!$AR$66</definedName>
    <definedName name="s_K_EBrus_K_Dr">Цены!$Z$66</definedName>
    <definedName name="s_K_EBrus_K_Pdx">Цены!$T$66</definedName>
    <definedName name="s_K_EBrus_K_Pdxmatt">Цены!$V$66</definedName>
    <definedName name="s_K_EBrus_K_Pe04">Цены!$AN$66</definedName>
    <definedName name="s_K_EBrus_K_Pe045">Цены!$AL$66</definedName>
    <definedName name="s_K_EBrus_K_Pe065">Цены!$AJ$66</definedName>
    <definedName name="s_K_EBrus_K_Pe07">Цены!$AH$66</definedName>
    <definedName name="s_K_EBrus_K_Pe08">Цены!$AF$66</definedName>
    <definedName name="s_K_EBrus_K_PEdp">Цены!$AD$66</definedName>
    <definedName name="s_K_EBrus_K_Pt">Цены!$F$66</definedName>
    <definedName name="s_K_EBrus_K_Ptdach">Цены!$BJ$66</definedName>
    <definedName name="s_K_EBrus_K_Ptdp">Цены!$D$66</definedName>
    <definedName name="s_K_EBrus_K_PtNN">Цены!$BL$66</definedName>
    <definedName name="s_K_EBrus_K_Pur">Цены!$R$66</definedName>
    <definedName name="s_K_EBrus_K_Q">Цены!$J$66</definedName>
    <definedName name="s_K_EBrus_K_Ql">Цены!$L$66</definedName>
    <definedName name="s_K_EBrus_K_Sat">Цены!$AB$66</definedName>
    <definedName name="s_K_EBrus_K_Sf">Цены!$H$66</definedName>
    <definedName name="s_K_EBrus_K_StBarhat">Цены!$X$66</definedName>
    <definedName name="s_K_EBrus_K_Vel">Цены!$N$66</definedName>
    <definedName name="S_KDoska_Atl">Цены!$P$27</definedName>
    <definedName name="S_KDoska_dachPr">Цены!$AP$27</definedName>
    <definedName name="S_KDoska_dachSk">Цены!$AR$27</definedName>
    <definedName name="S_KDoska_Dr">Цены!$Z$27</definedName>
    <definedName name="S_KDoska_K_Atl">Цены!$P$64</definedName>
    <definedName name="S_KDoska_K_dachPr">Цены!$AP$64</definedName>
    <definedName name="S_KDoska_K_dachSk">Цены!$AR$64</definedName>
    <definedName name="S_KDoska_K_Dr">Цены!$Z$64</definedName>
    <definedName name="S_KDoska_K_Pdx">Цены!$T$64</definedName>
    <definedName name="S_KDoska_K_Pdxmatt">Цены!$V$64</definedName>
    <definedName name="S_KDoska_K_Pe04">Цены!$AN$64</definedName>
    <definedName name="S_KDoska_K_Pe045">Цены!$AL$64</definedName>
    <definedName name="S_KDoska_K_Pe065">Цены!$AJ$64</definedName>
    <definedName name="S_KDoska_K_Pe07">Цены!$AH$64</definedName>
    <definedName name="S_KDoska_K_Pe08">Цены!$AF$64</definedName>
    <definedName name="S_KDoska_K_PEdp">Цены!$AD$64</definedName>
    <definedName name="S_KDoska_K_Pt">Цены!$F$64</definedName>
    <definedName name="S_KDoska_K_Ptdach">Цены!$BJ$64</definedName>
    <definedName name="S_KDoska_K_Ptdp">Цены!$D$64</definedName>
    <definedName name="S_KDoska_K_PtNN">Цены!$BL$64</definedName>
    <definedName name="S_KDoska_K_Pur">Цены!$R$64</definedName>
    <definedName name="S_KDoska_K_Q">Цены!$J$64</definedName>
    <definedName name="S_KDoska_K_Ql">Цены!$L$64</definedName>
    <definedName name="S_KDoska_K_Sat">Цены!$AB$64</definedName>
    <definedName name="S_KDoska_K_Sf">Цены!$H$64</definedName>
    <definedName name="S_KDoska_K_StBarhat">Цены!$X$64</definedName>
    <definedName name="S_KDoska_K_Vel">Цены!$N$64</definedName>
    <definedName name="S_KDoska_Pdx">Цены!$T$27</definedName>
    <definedName name="S_KDoska_Pdxmatt">Цены!$V$27</definedName>
    <definedName name="S_KDoska_Pe04">Цены!$AN$27</definedName>
    <definedName name="S_KDoska_Pe045">Цены!$AL$27</definedName>
    <definedName name="S_KDoska_Pe065">Цены!$AJ$27</definedName>
    <definedName name="S_KDoska_Pe07">Цены!$AH$27</definedName>
    <definedName name="S_KDoska_Pe08">Цены!$AF$27</definedName>
    <definedName name="S_KDoska_PEdp">Цены!$AD$27</definedName>
    <definedName name="S_KDoska_Pt">Цены!$F$27</definedName>
    <definedName name="S_KDoska_Ptdach">Цены!$BJ$27</definedName>
    <definedName name="S_KDoska_Ptdp">Цены!$D$27</definedName>
    <definedName name="S_KDoska_PtNN">Цены!$BL$27</definedName>
    <definedName name="S_KDoska_Pur">Цены!$R$27</definedName>
    <definedName name="S_KDoska_Q">Цены!$J$27</definedName>
    <definedName name="S_KDoska_Ql">Цены!$L$27</definedName>
    <definedName name="S_KDoska_Sat">Цены!$AB$27</definedName>
    <definedName name="S_KDoska_Sf">Цены!$H$27</definedName>
    <definedName name="S_KDoska_StBarhat">Цены!$X$27</definedName>
    <definedName name="S_KDoska_Vel">Цены!$N$27</definedName>
    <definedName name="S_Vertikal_Atl">Цены!$P$28</definedName>
    <definedName name="S_Vertikal_dachPr">Цены!$AP$28</definedName>
    <definedName name="S_Vertikal_dachSk">Цены!$AR$28</definedName>
    <definedName name="S_Vertikal_Dr">Цены!$Z$28</definedName>
    <definedName name="S_Vertikal_K_Atl">Цены!$P$65</definedName>
    <definedName name="S_Vertikal_K_dachPr">Цены!$AP$65</definedName>
    <definedName name="S_Vertikal_K_dachSk">Цены!$AR$65</definedName>
    <definedName name="S_Vertikal_K_Dr">Цены!$Z$65</definedName>
    <definedName name="S_Vertikal_K_Pdx">Цены!$T$65</definedName>
    <definedName name="S_Vertikal_K_Pdxmatt">Цены!$V$65</definedName>
    <definedName name="S_Vertikal_K_Pe04">Цены!$AN$65</definedName>
    <definedName name="S_Vertikal_K_Pe045">Цены!$AL$65</definedName>
    <definedName name="S_Vertikal_K_Pe065">Цены!$AJ$65</definedName>
    <definedName name="S_Vertikal_K_Pe07">Цены!$AH$65</definedName>
    <definedName name="S_Vertikal_K_Pe08">Цены!$AF$65</definedName>
    <definedName name="S_Vertikal_K_PEdp">Цены!$AD$65</definedName>
    <definedName name="S_Vertikal_K_Pt">Цены!$F$65</definedName>
    <definedName name="S_Vertikal_K_Ptdach">Цены!$BJ$65</definedName>
    <definedName name="S_Vertikal_K_Ptdp">Цены!$D$65</definedName>
    <definedName name="S_Vertikal_K_PtNN">Цены!$BL$65</definedName>
    <definedName name="S_Vertikal_K_Pur">Цены!$R$65</definedName>
    <definedName name="S_Vertikal_K_Q">Цены!$J$65</definedName>
    <definedName name="S_Vertikal_K_Ql">Цены!$L$65</definedName>
    <definedName name="S_Vertikal_K_Sat">Цены!$AB$65</definedName>
    <definedName name="S_Vertikal_K_Sf">Цены!$H$65</definedName>
    <definedName name="S_Vertikal_K_StBarhat">Цены!$X$65</definedName>
    <definedName name="S_Vertikal_K_Vel">Цены!$N$65</definedName>
    <definedName name="S_Vertikal_Pdx">Цены!$T$28</definedName>
    <definedName name="S_Vertikal_Pdxmatt">Цены!$V$28</definedName>
    <definedName name="S_Vertikal_Pe04">Цены!$AN$28</definedName>
    <definedName name="S_Vertikal_Pe045">Цены!$AL$28</definedName>
    <definedName name="S_Vertikal_Pe065">Цены!$AJ$28</definedName>
    <definedName name="S_Vertikal_Pe07">Цены!$AH$28</definedName>
    <definedName name="S_Vertikal_Pe08">Цены!$AF$28</definedName>
    <definedName name="S_Vertikal_PEdp">Цены!$AD$28</definedName>
    <definedName name="S_Vertikal_Pt">Цены!$F$28</definedName>
    <definedName name="S_Vertikal_Ptdach">Цены!$BJ$28</definedName>
    <definedName name="S_Vertikal_Ptdp">Цены!$D$28</definedName>
    <definedName name="S_Vertikal_PtNN">Цены!$BL$28</definedName>
    <definedName name="S_Vertikal_Pur">Цены!$R$28</definedName>
    <definedName name="S_Vertikal_Q">Цены!$J$28</definedName>
    <definedName name="S_Vertikal_Ql">Цены!$L$28</definedName>
    <definedName name="S_Vertikal_Sat">Цены!$AB$28</definedName>
    <definedName name="S_Vertikal_Sf">Цены!$H$28</definedName>
    <definedName name="S_Vertikal_StBarhat">Цены!$X$28</definedName>
    <definedName name="S_Vertikal_Vel">Цены!$N$28</definedName>
    <definedName name="Shtaket_Kr_Atl">Цены!$P$34</definedName>
    <definedName name="Shtaket_Kr_dachPr">Цены!$AP$34</definedName>
    <definedName name="Shtaket_Kr_dachSk">Цены!$AR$34</definedName>
    <definedName name="Shtaket_Kr_Dr">Цены!$Z$34</definedName>
    <definedName name="Shtaket_Kr_K_Atl">Цены!$P$71</definedName>
    <definedName name="Shtaket_Kr_K_dachPr">Цены!$AP$71</definedName>
    <definedName name="Shtaket_Kr_K_dachSk">Цены!$AR$71</definedName>
    <definedName name="Shtaket_Kr_K_Dr">Цены!$Z$71</definedName>
    <definedName name="Shtaket_Kr_K_Pdx">Цены!$T$71</definedName>
    <definedName name="Shtaket_Kr_K_Pdxmatt">Цены!$V$71</definedName>
    <definedName name="Shtaket_Kr_K_Pe04">Цены!$AN$71</definedName>
    <definedName name="Shtaket_Kr_K_Pe045">Цены!$AL$71</definedName>
    <definedName name="Shtaket_Kr_K_Pe065">Цены!$AJ$71</definedName>
    <definedName name="Shtaket_Kr_K_Pe07">Цены!$AH$71</definedName>
    <definedName name="Shtaket_Kr_K_Pe08">Цены!$AF$71</definedName>
    <definedName name="Shtaket_Kr_K_PEdp">Цены!$AD$71</definedName>
    <definedName name="Shtaket_Kr_K_Pt">Цены!$F$71</definedName>
    <definedName name="Shtaket_Kr_K_Ptdach">Цены!$BJ$71</definedName>
    <definedName name="Shtaket_Kr_K_Ptdp">Цены!$D$71</definedName>
    <definedName name="Shtaket_Kr_K_PtNN">Цены!$BL$71</definedName>
    <definedName name="Shtaket_Kr_K_Pur">Цены!$R$71</definedName>
    <definedName name="Shtaket_Kr_K_Q">Цены!$J$71</definedName>
    <definedName name="Shtaket_Kr_K_Ql">Цены!$L$71</definedName>
    <definedName name="Shtaket_Kr_K_Sat">Цены!$AB$71</definedName>
    <definedName name="Shtaket_Kr_K_Sf">Цены!$H$71</definedName>
    <definedName name="Shtaket_Kr_K_StBarhat">Цены!$X$71</definedName>
    <definedName name="Shtaket_Kr_K_Vel">Цены!$N$71</definedName>
    <definedName name="Shtaket_Kr_Pdx">Цены!$T$34</definedName>
    <definedName name="Shtaket_Kr_Pdxmatt">Цены!$V$34</definedName>
    <definedName name="Shtaket_Kr_Pe04">Цены!$AN$34</definedName>
    <definedName name="Shtaket_Kr_Pe045">Цены!$AL$34</definedName>
    <definedName name="Shtaket_Kr_Pe065">Цены!$AJ$34</definedName>
    <definedName name="Shtaket_Kr_Pe07">Цены!$AH$34</definedName>
    <definedName name="Shtaket_Kr_Pe08">Цены!$AF$34</definedName>
    <definedName name="Shtaket_Kr_PEdp">Цены!$AD$34</definedName>
    <definedName name="Shtaket_Kr_Pt">Цены!$F$34</definedName>
    <definedName name="Shtaket_Kr_Ptdach">Цены!$BJ$34</definedName>
    <definedName name="Shtaket_Kr_Ptdp">Цены!$D$34</definedName>
    <definedName name="Shtaket_Kr_PtNN">Цены!$BL$34</definedName>
    <definedName name="Shtaket_Kr_Pur">Цены!$R$34</definedName>
    <definedName name="Shtaket_Kr_Q">Цены!$J$34</definedName>
    <definedName name="Shtaket_Kr_Ql">Цены!$L$34</definedName>
    <definedName name="Shtaket_Kr_Sat">Цены!$AB$34</definedName>
    <definedName name="Shtaket_Kr_Sf">Цены!$H$34</definedName>
    <definedName name="Shtaket_Kr_StBarhat">Цены!$X$34</definedName>
    <definedName name="Shtaket_Kr_Vel">Цены!$N$34</definedName>
    <definedName name="Shtaket_Krf_Atl">Цены!$P$36</definedName>
    <definedName name="Shtaket_Krf_dachPr">Цены!$AP$36</definedName>
    <definedName name="Shtaket_Krf_dachSk">Цены!$AR$36</definedName>
    <definedName name="Shtaket_Krf_Dr">Цены!$Z$36</definedName>
    <definedName name="Shtaket_Krf_K_Atl">Цены!$P$73</definedName>
    <definedName name="Shtaket_Krf_K_dachPr">Цены!$AP$73</definedName>
    <definedName name="Shtaket_Krf_K_dachSk">Цены!$AR$73</definedName>
    <definedName name="Shtaket_Krf_K_Dr">Цены!$Z$73</definedName>
    <definedName name="Shtaket_Krf_K_Pdx">Цены!$T$73</definedName>
    <definedName name="Shtaket_Krf_K_Pdxmatt">Цены!$V$73</definedName>
    <definedName name="Shtaket_Krf_K_Pe04">Цены!$AN$73</definedName>
    <definedName name="Shtaket_Krf_K_Pe045">Цены!$AL$73</definedName>
    <definedName name="Shtaket_Krf_K_Pe065">Цены!$AJ$73</definedName>
    <definedName name="Shtaket_Krf_K_Pe07">Цены!$AH$73</definedName>
    <definedName name="Shtaket_Krf_K_Pe08">Цены!$AF$73</definedName>
    <definedName name="Shtaket_Krf_K_PEdp">Цены!$AD$73</definedName>
    <definedName name="Shtaket_Krf_K_Pt">Цены!$F$73</definedName>
    <definedName name="Shtaket_Krf_K_Ptdach">Цены!$BJ$73</definedName>
    <definedName name="Shtaket_Krf_K_Ptdp">Цены!$D$73</definedName>
    <definedName name="Shtaket_Krf_K_PtNN">Цены!$BL$73</definedName>
    <definedName name="Shtaket_Krf_K_Pur">Цены!$R$73</definedName>
    <definedName name="Shtaket_Krf_K_Q">Цены!$J$73</definedName>
    <definedName name="Shtaket_Krf_K_Ql">Цены!$L$73</definedName>
    <definedName name="Shtaket_Krf_K_Sat">Цены!$AB$73</definedName>
    <definedName name="Shtaket_Krf_K_Sf">Цены!$H$73</definedName>
    <definedName name="Shtaket_Krf_K_StBarhat">Цены!$X$73</definedName>
    <definedName name="Shtaket_Krf_K_Vel">Цены!$N$73</definedName>
    <definedName name="Shtaket_Krf_Pdx">Цены!$T$36</definedName>
    <definedName name="Shtaket_Krf_Pdxmatt">Цены!$V$36</definedName>
    <definedName name="Shtaket_Krf_Pe04">Цены!$AN$36</definedName>
    <definedName name="Shtaket_Krf_Pe045">Цены!$AL$36</definedName>
    <definedName name="Shtaket_Krf_Pe065">Цены!$AJ$36</definedName>
    <definedName name="Shtaket_Krf_Pe07">Цены!$AH$36</definedName>
    <definedName name="Shtaket_Krf_Pe08">Цены!$AF$36</definedName>
    <definedName name="Shtaket_Krf_PEdp">Цены!$AD$36</definedName>
    <definedName name="Shtaket_Krf_Pt">Цены!$F$36</definedName>
    <definedName name="Shtaket_Krf_Ptdach">Цены!$BJ$36</definedName>
    <definedName name="Shtaket_Krf_Ptdp">Цены!$D$36</definedName>
    <definedName name="Shtaket_Krf_PtNN">Цены!$BL$36</definedName>
    <definedName name="Shtaket_Krf_Pur">Цены!$R$36</definedName>
    <definedName name="Shtaket_Krf_Q">Цены!$J$36</definedName>
    <definedName name="Shtaket_Krf_Ql">Цены!$L$36</definedName>
    <definedName name="Shtaket_Krf_Sat">Цены!$AB$36</definedName>
    <definedName name="Shtaket_Krf_Sf">Цены!$H$36</definedName>
    <definedName name="Shtaket_Krf_StBarhat">Цены!$X$36</definedName>
    <definedName name="Shtaket_Krf_Vel">Цены!$N$36</definedName>
    <definedName name="Shtaket_MP_Atl">Цены!$P$32</definedName>
    <definedName name="Shtaket_MP_dachPr">Цены!$AP$32</definedName>
    <definedName name="Shtaket_MP_dachSk">Цены!$AR$32</definedName>
    <definedName name="Shtaket_MP_Dr">Цены!$Z$32</definedName>
    <definedName name="Shtaket_MP_K_Atl">Цены!$P$69</definedName>
    <definedName name="Shtaket_MP_K_dachPr">Цены!$AP$69</definedName>
    <definedName name="Shtaket_MP_K_dachSk">Цены!$AR$69</definedName>
    <definedName name="Shtaket_MP_K_Dr">Цены!$Z$69</definedName>
    <definedName name="Shtaket_MP_K_Pdx">Цены!$T$69</definedName>
    <definedName name="Shtaket_MP_K_Pdxmatt">Цены!$V$69</definedName>
    <definedName name="Shtaket_MP_K_Pe04">Цены!$AN$69</definedName>
    <definedName name="Shtaket_MP_K_Pe045">Цены!$AL$69</definedName>
    <definedName name="Shtaket_MP_K_Pe065">Цены!$AJ$69</definedName>
    <definedName name="Shtaket_MP_K_Pe07">Цены!$AH$69</definedName>
    <definedName name="Shtaket_MP_K_Pe08">Цены!$AF$69</definedName>
    <definedName name="Shtaket_MP_K_PEdp">Цены!$AD$69</definedName>
    <definedName name="Shtaket_MP_K_Pt">Цены!$F$69</definedName>
    <definedName name="Shtaket_MP_K_Ptdach">Цены!$BJ$69</definedName>
    <definedName name="Shtaket_MP_K_Ptdp">Цены!$D$69</definedName>
    <definedName name="Shtaket_MP_K_PtNN">Цены!$BL$69</definedName>
    <definedName name="Shtaket_MP_K_Pur">Цены!$R$69</definedName>
    <definedName name="Shtaket_MP_K_Q">Цены!$J$69</definedName>
    <definedName name="Shtaket_MP_K_Ql">Цены!$L$69</definedName>
    <definedName name="Shtaket_MP_K_Sat">Цены!$AB$69</definedName>
    <definedName name="Shtaket_MP_K_Sf">Цены!$H$69</definedName>
    <definedName name="Shtaket_MP_K_StBarhat">Цены!$X$69</definedName>
    <definedName name="Shtaket_MP_K_Vel">Цены!$N$69</definedName>
    <definedName name="Shtaket_MP_Pdx">Цены!$T$32</definedName>
    <definedName name="Shtaket_MP_Pdxmatt">Цены!$V$32</definedName>
    <definedName name="Shtaket_MP_Pe04">Цены!$AN$32</definedName>
    <definedName name="Shtaket_MP_Pe045">Цены!$AL$32</definedName>
    <definedName name="Shtaket_MP_Pe065">Цены!$AJ$32</definedName>
    <definedName name="Shtaket_MP_Pe07">Цены!$AH$32</definedName>
    <definedName name="Shtaket_MP_Pe08">Цены!$AF$32</definedName>
    <definedName name="Shtaket_MP_PEdp">Цены!$AD$32</definedName>
    <definedName name="Shtaket_MP_Pt">Цены!$F$32</definedName>
    <definedName name="Shtaket_MP_Ptdach">Цены!$BJ$32</definedName>
    <definedName name="Shtaket_MP_Ptdp">Цены!$D$32</definedName>
    <definedName name="Shtaket_MP_PtNN">Цены!$BL$32</definedName>
    <definedName name="Shtaket_MP_Pur">Цены!$R$32</definedName>
    <definedName name="Shtaket_MP_Q">Цены!$J$32</definedName>
    <definedName name="Shtaket_MP_Ql">Цены!$L$32</definedName>
    <definedName name="Shtaket_MP_Sat">Цены!$AB$32</definedName>
    <definedName name="Shtaket_MP_Sf">Цены!$H$32</definedName>
    <definedName name="Shtaket_MP_StBarhat">Цены!$X$32</definedName>
    <definedName name="Shtaket_MP_Vel">Цены!$N$32</definedName>
    <definedName name="Shtaket_MPf_Atl">Цены!$P$33</definedName>
    <definedName name="Shtaket_MPf_dachPr">Цены!$AP$33</definedName>
    <definedName name="Shtaket_MPf_dachSk">Цены!$AR$33</definedName>
    <definedName name="Shtaket_MPf_Dr">Цены!$Z$33</definedName>
    <definedName name="Shtaket_MPf_K_Atl">Цены!$P$70</definedName>
    <definedName name="Shtaket_MPf_K_dachPr">Цены!$AP$70</definedName>
    <definedName name="Shtaket_MPf_K_dachSk">Цены!$AR$70</definedName>
    <definedName name="Shtaket_MPf_K_Dr">Цены!$Z$70</definedName>
    <definedName name="Shtaket_MPf_K_Pdx">Цены!$T$70</definedName>
    <definedName name="Shtaket_MPf_K_Pdxmatt">Цены!$V$70</definedName>
    <definedName name="Shtaket_MPf_K_Pe04">Цены!$AN$70</definedName>
    <definedName name="Shtaket_MPf_K_Pe045">Цены!$AL$70</definedName>
    <definedName name="Shtaket_MPf_K_Pe065">Цены!$AJ$70</definedName>
    <definedName name="Shtaket_MPf_K_Pe07">Цены!$AH$70</definedName>
    <definedName name="Shtaket_MPf_K_Pe08">Цены!$AF$70</definedName>
    <definedName name="Shtaket_MPf_K_PEdp">Цены!$AD$70</definedName>
    <definedName name="Shtaket_MPf_K_Pt">Цены!$F$70</definedName>
    <definedName name="Shtaket_MPf_K_Ptdach">Цены!$BJ$70</definedName>
    <definedName name="Shtaket_MPf_K_Ptdp">Цены!$D$70</definedName>
    <definedName name="Shtaket_MPf_K_PtNN">Цены!$BL$70</definedName>
    <definedName name="Shtaket_MPf_K_Pur">Цены!$R$70</definedName>
    <definedName name="Shtaket_MPf_K_Q">Цены!$J$70</definedName>
    <definedName name="Shtaket_MPf_K_Ql">Цены!$L$70</definedName>
    <definedName name="Shtaket_MPf_K_Sat">Цены!$AB$70</definedName>
    <definedName name="Shtaket_MPf_K_Sf">Цены!$H$70</definedName>
    <definedName name="Shtaket_MPf_K_StBarhat">Цены!$X$70</definedName>
    <definedName name="Shtaket_MPf_K_Vel">Цены!$N$70</definedName>
    <definedName name="Shtaket_MPf_Pdx">Цены!$T$33</definedName>
    <definedName name="Shtaket_MPf_Pdxmatt">Цены!$V$33</definedName>
    <definedName name="Shtaket_MPf_Pe04">Цены!$AN$33</definedName>
    <definedName name="Shtaket_MPf_Pe045">Цены!$AL$33</definedName>
    <definedName name="Shtaket_MPf_Pe065">Цены!$AJ$33</definedName>
    <definedName name="Shtaket_MPf_Pe07">Цены!$AH$33</definedName>
    <definedName name="Shtaket_MPf_Pe08">Цены!$AF$33</definedName>
    <definedName name="Shtaket_MPf_PEdp">Цены!$AD$33</definedName>
    <definedName name="Shtaket_MPf_Pt">Цены!$F$33</definedName>
    <definedName name="Shtaket_MPf_Ptdach">Цены!$BJ$33</definedName>
    <definedName name="Shtaket_MPf_Ptdp">Цены!$D$33</definedName>
    <definedName name="Shtaket_MPf_PtNN">Цены!$BL$33</definedName>
    <definedName name="Shtaket_MPf_Pur">Цены!$R$33</definedName>
    <definedName name="Shtaket_MPf_Q">Цены!$J$33</definedName>
    <definedName name="Shtaket_MPf_Ql">Цены!$L$33</definedName>
    <definedName name="Shtaket_MPf_Sat">Цены!$AB$33</definedName>
    <definedName name="Shtaket_MPf_Sf">Цены!$H$33</definedName>
    <definedName name="Shtaket_MPf_StBarhat">Цены!$X$33</definedName>
    <definedName name="Shtaket_MPf_Vel">Цены!$N$33</definedName>
    <definedName name="Shtaket_Pr_Atl">Цены!$P$35</definedName>
    <definedName name="Shtaket_Pr_dachPr">Цены!$AP$35</definedName>
    <definedName name="Shtaket_Pr_dachSk">Цены!$AR$35</definedName>
    <definedName name="Shtaket_Pr_Dr">Цены!$Z$35</definedName>
    <definedName name="Shtaket_Pr_K_Atl">Цены!$P$72</definedName>
    <definedName name="Shtaket_Pr_K_dachPr">Цены!$AP$72</definedName>
    <definedName name="Shtaket_Pr_K_dachSk">Цены!$AR$72</definedName>
    <definedName name="Shtaket_Pr_K_Dr">Цены!$Z$72</definedName>
    <definedName name="Shtaket_Pr_K_Pdx">Цены!$T$72</definedName>
    <definedName name="Shtaket_Pr_K_Pdxmatt">Цены!$V$72</definedName>
    <definedName name="Shtaket_Pr_K_Pe04">Цены!$AN$72</definedName>
    <definedName name="Shtaket_Pr_K_Pe045">Цены!$AL$72</definedName>
    <definedName name="Shtaket_Pr_K_Pe065">Цены!$AJ$72</definedName>
    <definedName name="Shtaket_Pr_K_Pe07">Цены!$AH$72</definedName>
    <definedName name="Shtaket_Pr_K_Pe08">Цены!$AF$72</definedName>
    <definedName name="Shtaket_Pr_K_PEdp">Цены!$AD$72</definedName>
    <definedName name="Shtaket_Pr_K_Pt">Цены!$F$72</definedName>
    <definedName name="Shtaket_Pr_K_Ptdach">Цены!$BJ$72</definedName>
    <definedName name="Shtaket_Pr_K_Ptdp">Цены!$D$72</definedName>
    <definedName name="Shtaket_Pr_K_PtNN">Цены!$BL$72</definedName>
    <definedName name="Shtaket_Pr_K_Pur">Цены!$R$72</definedName>
    <definedName name="Shtaket_Pr_K_Q">Цены!$J$72</definedName>
    <definedName name="Shtaket_Pr_K_Ql">Цены!$L$72</definedName>
    <definedName name="Shtaket_Pr_K_Sat">Цены!$AB$72</definedName>
    <definedName name="Shtaket_Pr_K_Sf">Цены!$H$72</definedName>
    <definedName name="Shtaket_Pr_K_StBarhat">Цены!$X$72</definedName>
    <definedName name="Shtaket_Pr_K_Vel">Цены!$N$72</definedName>
    <definedName name="Shtaket_Pr_Pdx">Цены!$T$35</definedName>
    <definedName name="Shtaket_Pr_Pdxmatt">Цены!$V$35</definedName>
    <definedName name="Shtaket_Pr_Pe04">Цены!$AN$35</definedName>
    <definedName name="Shtaket_Pr_Pe045">Цены!$AL$35</definedName>
    <definedName name="Shtaket_Pr_Pe065">Цены!$AJ$35</definedName>
    <definedName name="Shtaket_Pr_Pe07">Цены!$AH$35</definedName>
    <definedName name="Shtaket_Pr_Pe08">Цены!$AF$35</definedName>
    <definedName name="Shtaket_Pr_PEdp">Цены!$AD$35</definedName>
    <definedName name="Shtaket_Pr_Pt">Цены!$F$35</definedName>
    <definedName name="Shtaket_Pr_Ptdach">Цены!$BJ$35</definedName>
    <definedName name="Shtaket_Pr_Ptdp">Цены!$D$35</definedName>
    <definedName name="Shtaket_Pr_PtNN">Цены!$BL$35</definedName>
    <definedName name="Shtaket_Pr_Pur">Цены!$R$35</definedName>
    <definedName name="Shtaket_Pr_Q">Цены!$J$35</definedName>
    <definedName name="Shtaket_Pr_Ql">Цены!$L$35</definedName>
    <definedName name="Shtaket_Pr_Sat">Цены!$AB$35</definedName>
    <definedName name="Shtaket_Pr_Sf">Цены!$H$35</definedName>
    <definedName name="Shtaket_Pr_StBarhat">Цены!$X$35</definedName>
    <definedName name="Shtaket_Pr_Vel">Цены!$N$35</definedName>
    <definedName name="Shtaket_Prf_Atl">Цены!$P$37</definedName>
    <definedName name="Shtaket_Prf_dachPr">Цены!$AP$37</definedName>
    <definedName name="Shtaket_Prf_dachSk">Цены!$AR$37</definedName>
    <definedName name="Shtaket_Prf_Dr">Цены!$Z$37</definedName>
    <definedName name="Shtaket_Prf_K_Atl">Цены!$P$74</definedName>
    <definedName name="Shtaket_Prf_K_dachPr">Цены!$AP$74</definedName>
    <definedName name="Shtaket_Prf_K_dachSk">Цены!$AR$74</definedName>
    <definedName name="Shtaket_Prf_K_Dr">Цены!$Z$74</definedName>
    <definedName name="Shtaket_Prf_K_Pdx">Цены!$T$74</definedName>
    <definedName name="Shtaket_Prf_K_Pdxmatt">Цены!$V$74</definedName>
    <definedName name="Shtaket_Prf_K_Pe04">Цены!$AN$74</definedName>
    <definedName name="Shtaket_Prf_K_Pe045">Цены!$AL$74</definedName>
    <definedName name="Shtaket_Prf_K_Pe065">Цены!$AJ$74</definedName>
    <definedName name="Shtaket_Prf_K_Pe07">Цены!$AH$74</definedName>
    <definedName name="Shtaket_Prf_K_Pe08">Цены!$AF$74</definedName>
    <definedName name="Shtaket_Prf_K_PEdp">Цены!$AD$74</definedName>
    <definedName name="Shtaket_Prf_K_Pt">Цены!$F$74</definedName>
    <definedName name="Shtaket_Prf_K_Ptdach">Цены!$BJ$74</definedName>
    <definedName name="Shtaket_Prf_K_Ptdp">Цены!$D$74</definedName>
    <definedName name="Shtaket_Prf_K_PtNN">Цены!$BL$74</definedName>
    <definedName name="Shtaket_Prf_K_Pur">Цены!$R$74</definedName>
    <definedName name="Shtaket_Prf_K_Q">Цены!$J$74</definedName>
    <definedName name="Shtaket_Prf_K_Ql">Цены!$L$74</definedName>
    <definedName name="Shtaket_Prf_K_Sat">Цены!$AB$74</definedName>
    <definedName name="Shtaket_Prf_K_Sf">Цены!$H$74</definedName>
    <definedName name="Shtaket_Prf_K_StBarhat">Цены!$X$74</definedName>
    <definedName name="Shtaket_Prf_K_Vel">Цены!$N$74</definedName>
    <definedName name="Shtaket_Prf_Pdx">Цены!$T$37</definedName>
    <definedName name="Shtaket_Prf_Pdxmatt">Цены!$V$37</definedName>
    <definedName name="Shtaket_Prf_Pe04">Цены!$AN$37</definedName>
    <definedName name="Shtaket_Prf_Pe045">Цены!$AL$37</definedName>
    <definedName name="Shtaket_Prf_Pe065">Цены!$AJ$37</definedName>
    <definedName name="Shtaket_Prf_Pe07">Цены!$AH$37</definedName>
    <definedName name="Shtaket_Prf_Pe08">Цены!$AF$37</definedName>
    <definedName name="Shtaket_Prf_PEdp">Цены!$AD$37</definedName>
    <definedName name="Shtaket_Prf_Pt">Цены!$F$37</definedName>
    <definedName name="Shtaket_Prf_Ptdach">Цены!$BJ$37</definedName>
    <definedName name="Shtaket_Prf_Ptdp">Цены!$D$37</definedName>
    <definedName name="Shtaket_Prf_PtNN">Цены!$BL$37</definedName>
    <definedName name="Shtaket_Prf_Pur">Цены!$R$37</definedName>
    <definedName name="Shtaket_Prf_Q">Цены!$J$37</definedName>
    <definedName name="Shtaket_Prf_Ql">Цены!$L$37</definedName>
    <definedName name="Shtaket_Prf_Sat">Цены!$AB$37</definedName>
    <definedName name="Shtaket_Prf_Sf">Цены!$H$37</definedName>
    <definedName name="Shtaket_Prf_StBarhat">Цены!$X$37</definedName>
    <definedName name="Shtaket_Prf_Vel">Цены!$N$37</definedName>
    <definedName name="ShtripsFalz_Atl">Цены!$P$25</definedName>
    <definedName name="ShtripsFalz_dachPr">Цены!$AP$25</definedName>
    <definedName name="ShtripsFalz_dachSk">Цены!$AR$25</definedName>
    <definedName name="ShtripsFalz_Dr">Цены!$Z$25</definedName>
    <definedName name="ShtripsFalz_K_Atl">Цены!$P$62</definedName>
    <definedName name="ShtripsFalz_K_dachPr">Цены!$AP$62</definedName>
    <definedName name="ShtripsFalz_K_dachSk">Цены!$AR$62</definedName>
    <definedName name="ShtripsFalz_K_Dr">Цены!$Z$62</definedName>
    <definedName name="ShtripsFalz_K_Pdx">Цены!$T$62</definedName>
    <definedName name="ShtripsFalz_K_Pdxmatt">Цены!$V$62</definedName>
    <definedName name="ShtripsFalz_K_Pe04">Цены!$AN$62</definedName>
    <definedName name="ShtripsFalz_K_Pe045">Цены!$AL$62</definedName>
    <definedName name="ShtripsFalz_K_Pe065">Цены!$AJ$62</definedName>
    <definedName name="ShtripsFalz_K_Pe07">Цены!$AH$62</definedName>
    <definedName name="ShtripsFalz_K_Pe08">Цены!$AF$62</definedName>
    <definedName name="ShtripsFalz_K_PEdp">Цены!$AD$62</definedName>
    <definedName name="ShtripsFalz_K_Pt">Цены!$F$62</definedName>
    <definedName name="ShtripsFalz_K_Ptdach">Цены!$BJ$62</definedName>
    <definedName name="ShtripsFalz_K_Ptdp">Цены!$D$62</definedName>
    <definedName name="ShtripsFalz_K_PtNN">Цены!$BL$62</definedName>
    <definedName name="ShtripsFalz_K_Pur">Цены!$R$62</definedName>
    <definedName name="ShtripsFalz_K_Q">Цены!$J$62</definedName>
    <definedName name="ShtripsFalz_K_Ql">Цены!$L$62</definedName>
    <definedName name="ShtripsFalz_K_Sat">Цены!$AB$62</definedName>
    <definedName name="ShtripsFalz_K_Sf">Цены!$H$62</definedName>
    <definedName name="ShtripsFalz_K_StBarhat">Цены!$X$62</definedName>
    <definedName name="ShtripsFalz_K_Vel">Цены!$N$62</definedName>
    <definedName name="ShtripsFalz_K_Zn035">Цены!$AT$62</definedName>
    <definedName name="ShtripsFalz_K_Zn04">Цены!$AV$62</definedName>
    <definedName name="ShtripsFalz_K_Zn045">Цены!$AX$62</definedName>
    <definedName name="ShtripsFalz_K_Zn05">Цены!$AZ$62</definedName>
    <definedName name="ShtripsFalz_K_Zn055">Цены!$BB$62</definedName>
    <definedName name="ShtripsFalz_K_Zn07">Цены!$BD$62</definedName>
    <definedName name="ShtripsFalz_K_Zn08">Цены!$BF$62</definedName>
    <definedName name="ShtripsFalz_K_Zn09">Цены!$BH$62</definedName>
    <definedName name="ShtripsFalz_Pdx">Цены!$T$25</definedName>
    <definedName name="ShtripsFalz_Pdxmatt">Цены!$V$25</definedName>
    <definedName name="ShtripsFalz_Pe04">Цены!$AN$25</definedName>
    <definedName name="ShtripsFalz_Pe045">Цены!$AL$25</definedName>
    <definedName name="ShtripsFalz_Pe065">Цены!$AJ$25</definedName>
    <definedName name="ShtripsFalz_Pe07">Цены!$AH$25</definedName>
    <definedName name="ShtripsFalz_Pe08">Цены!$AF$25</definedName>
    <definedName name="ShtripsFalz_PEdp">Цены!$AD$25</definedName>
    <definedName name="ShtripsFalz_Pt">Цены!$F$25</definedName>
    <definedName name="ShtripsFalz_Ptdach">Цены!$BJ$25</definedName>
    <definedName name="ShtripsFalz_Ptdp">Цены!$D$25</definedName>
    <definedName name="ShtripsFalz_PtNN">Цены!$BL$25</definedName>
    <definedName name="ShtripsFalz_Pur">Цены!$R$25</definedName>
    <definedName name="ShtripsFalz_Q">Цены!$J$25</definedName>
    <definedName name="ShtripsFalz_Ql">Цены!$L$25</definedName>
    <definedName name="ShtripsFalz_Sat">Цены!$AB$25</definedName>
    <definedName name="ShtripsFalz_Sf">Цены!$H$25</definedName>
    <definedName name="ShtripsFalz_StBarhat">Цены!$X$25</definedName>
    <definedName name="ShtripsFalz_Vel">Цены!$N$25</definedName>
    <definedName name="ShtripsFalz_Zn035">Цены!$AT$25</definedName>
    <definedName name="ShtripsFalz_Zn04">Цены!$AV$25</definedName>
    <definedName name="ShtripsFalz_Zn045">Цены!$AX$25</definedName>
    <definedName name="ShtripsFalz_Zn05">Цены!$AZ$25</definedName>
    <definedName name="ShtripsFalz_Zn055">Цены!$BB$25</definedName>
    <definedName name="ShtripsFalz_Zn07">Цены!$BD$25</definedName>
    <definedName name="ShtripsFalz_Zn08">Цены!$BF$25</definedName>
    <definedName name="ShtripsFalz_Zn09">Цены!$BH$25</definedName>
    <definedName name="Sofit_Atl">Цены!$P$12</definedName>
    <definedName name="Sofit_dachPr">Цены!$AP$12</definedName>
    <definedName name="Sofit_dachSk">Цены!$AR$12</definedName>
    <definedName name="Sofit_Dr">Цены!$Z$12</definedName>
    <definedName name="Sofit_K_Atl">Цены!$P$50</definedName>
    <definedName name="Sofit_K_dachPr">Цены!$AP$50</definedName>
    <definedName name="Sofit_K_dachSk">Цены!$AR$50</definedName>
    <definedName name="Sofit_K_Dr">Цены!$Z$50</definedName>
    <definedName name="Sofit_K_Pdx">Цены!$T$50</definedName>
    <definedName name="Sofit_K_Pdxmatt">Цены!$V$50</definedName>
    <definedName name="Sofit_K_Pe04">Цены!$AN$50</definedName>
    <definedName name="Sofit_K_Pe045">Цены!$AL$50</definedName>
    <definedName name="Sofit_K_Pe065">Цены!$AJ$50</definedName>
    <definedName name="Sofit_K_Pe07">Цены!$AH$50</definedName>
    <definedName name="Sofit_K_Pe08">Цены!$AF$50</definedName>
    <definedName name="Sofit_K_PEdp">Цены!$AD$50</definedName>
    <definedName name="Sofit_K_Pt">Цены!$F$50</definedName>
    <definedName name="Sofit_K_Ptdach">Цены!$BJ$50</definedName>
    <definedName name="Sofit_K_Ptdp">Цены!$D$50</definedName>
    <definedName name="Sofit_K_PtNN">Цены!$BL$50</definedName>
    <definedName name="Sofit_K_Pur">Цены!$R$50</definedName>
    <definedName name="Sofit_K_Q">Цены!$J$50</definedName>
    <definedName name="Sofit_K_Ql">Цены!$L$50</definedName>
    <definedName name="Sofit_K_Sat">Цены!$AB$50</definedName>
    <definedName name="Sofit_K_Sf">Цены!$H$50</definedName>
    <definedName name="Sofit_K_StBarhat">Цены!$X$50</definedName>
    <definedName name="Sofit_K_Vel">Цены!$N$50</definedName>
    <definedName name="Sofit_Pdx">Цены!$T$12</definedName>
    <definedName name="Sofit_Pdxmatt">Цены!$V$12</definedName>
    <definedName name="Sofit_Pe04">Цены!$AN$12</definedName>
    <definedName name="Sofit_Pe045">Цены!$AL$12</definedName>
    <definedName name="Sofit_Pe065">Цены!$AJ$12</definedName>
    <definedName name="Sofit_Pe07">Цены!$AH$12</definedName>
    <definedName name="Sofit_Pe08">Цены!$AF$12</definedName>
    <definedName name="Sofit_PEdp">Цены!$AD$12</definedName>
    <definedName name="Sofit_Pt">Цены!$F$12</definedName>
    <definedName name="Sofit_Ptdach">Цены!$BJ$12</definedName>
    <definedName name="Sofit_Ptdp">Цены!$D$12</definedName>
    <definedName name="Sofit_PtNN">Цены!$BL$12</definedName>
    <definedName name="Sofit_Pur">Цены!$R$12</definedName>
    <definedName name="Sofit_Q">Цены!$J$12</definedName>
    <definedName name="Sofit_Ql">Цены!$L$12</definedName>
    <definedName name="Sofit_Sat">Цены!$AB$12</definedName>
    <definedName name="Sofit_Sf">Цены!$H$12</definedName>
    <definedName name="Sofit_StBarhat">Цены!$X$12</definedName>
    <definedName name="Sofit_Vel">Цены!$N$12</definedName>
    <definedName name="Z_35DEDC87_6822_44E0_8846_13021CB77D1D_.wvu.PrintArea" localSheetId="15" hidden="1">'1_13_Водосток Optima'!$A$2:$L$35</definedName>
    <definedName name="Z_35DEDC87_6822_44E0_8846_13021CB77D1D_.wvu.PrintArea" localSheetId="16" hidden="1">'1_14_Водосток ПВХ GL Standart'!$A$2:$K$26</definedName>
    <definedName name="Z_35DEDC87_6822_44E0_8846_13021CB77D1D_.wvu.PrintArea" localSheetId="50" hidden="1">'5_5_Инструменты'!$A$2:$K$54</definedName>
    <definedName name="Z_35DEDC87_6822_44E0_8846_13021CB77D1D_.wvu.PrintArea" localSheetId="52" hidden="1">'6_1_Террасная доска и Теплицы'!$A$2:$Q$41</definedName>
    <definedName name="Z_A22E8694_B07B_4E99_AA25_83A76CC13B05_.wvu.Cols" localSheetId="7" hidden="1">'1_5_Мягкая кровля 2'!#REF!</definedName>
    <definedName name="Z_A22E8694_B07B_4E99_AA25_83A76CC13B05_.wvu.Cols" localSheetId="39" hidden="1">'4_2_Панельные ограждения'!#REF!</definedName>
    <definedName name="Z_A22E8694_B07B_4E99_AA25_83A76CC13B05_.wvu.PrintArea" localSheetId="3" hidden="1">'1_1_КРОВЛЯ'!$A$2:$Y$79</definedName>
    <definedName name="Z_A22E8694_B07B_4E99_AA25_83A76CC13B05_.wvu.PrintArea" localSheetId="12" hidden="1">'1_10_Черепица Metrotile'!$A$2:$N$51</definedName>
    <definedName name="Z_A22E8694_B07B_4E99_AA25_83A76CC13B05_.wvu.PrintArea" localSheetId="13" hidden="1">'1_11_ЦПЧ и Керамика'!$A$2:$P$51</definedName>
    <definedName name="Z_A22E8694_B07B_4E99_AA25_83A76CC13B05_.wvu.PrintArea" localSheetId="14" hidden="1">'1_12_Водосток GL'!$A$2:$M$28</definedName>
    <definedName name="Z_A22E8694_B07B_4E99_AA25_83A76CC13B05_.wvu.PrintArea" localSheetId="17" hidden="1">'1_15_ЭБК GL'!$A$2:$O$31</definedName>
    <definedName name="Z_A22E8694_B07B_4E99_AA25_83A76CC13B05_.wvu.PrintArea" localSheetId="18" hidden="1">'1_16_ЭБК Optima'!$A$2:$Q$32</definedName>
    <definedName name="Z_A22E8694_B07B_4E99_AA25_83A76CC13B05_.wvu.PrintArea" localSheetId="19" hidden="1">'1_17_Vilpe'!$A$2:$M$58</definedName>
    <definedName name="Z_A22E8694_B07B_4E99_AA25_83A76CC13B05_.wvu.PrintArea" localSheetId="20" hidden="1">'1_18_Krovent и ТехноНиколь'!$A$2:$N$47</definedName>
    <definedName name="Z_A22E8694_B07B_4E99_AA25_83A76CC13B05_.wvu.PrintArea" localSheetId="21" hidden="1">'1_19_Проходки MasterFlash'!$A$2:$Q$29</definedName>
    <definedName name="Z_A22E8694_B07B_4E99_AA25_83A76CC13B05_.wvu.PrintArea" localSheetId="4" hidden="1">'1_2_Доборные элементы кровли'!$A$2:$T$90</definedName>
    <definedName name="Z_A22E8694_B07B_4E99_AA25_83A76CC13B05_.wvu.PrintArea" localSheetId="23" hidden="1">'1_21_Fakro'!$A$2:$R$71</definedName>
    <definedName name="Z_A22E8694_B07B_4E99_AA25_83A76CC13B05_.wvu.PrintArea" localSheetId="24" hidden="1">'1_22_VELUX OPTIMA'!$A$2:$Q$69</definedName>
    <definedName name="Z_A22E8694_B07B_4E99_AA25_83A76CC13B05_.wvu.PrintArea" localSheetId="25" hidden="1">'1_23_VELUX PREMIUM'!$A$2:$R$63</definedName>
    <definedName name="Z_A22E8694_B07B_4E99_AA25_83A76CC13B05_.wvu.PrintArea" localSheetId="26" hidden="1">'1_24_Флюгеры'!$A$2:$N$31</definedName>
    <definedName name="Z_A22E8694_B07B_4E99_AA25_83A76CC13B05_.wvu.PrintArea" localSheetId="27" hidden="1">'1_25_Дымники и колпаки на заказ'!$A$2:$R$45</definedName>
    <definedName name="Z_A22E8694_B07B_4E99_AA25_83A76CC13B05_.wvu.PrintArea" localSheetId="5" hidden="1">'1_3_ФАЛЬЦ'!$A$2:$V$72</definedName>
    <definedName name="Z_A22E8694_B07B_4E99_AA25_83A76CC13B05_.wvu.PrintArea" localSheetId="6" hidden="1">'1_4_Мягкая кровля'!$A$2:$Z$49</definedName>
    <definedName name="Z_A22E8694_B07B_4E99_AA25_83A76CC13B05_.wvu.PrintArea" localSheetId="7" hidden="1">'1_5_Мягкая кровля 2'!$A$2:$Y$50</definedName>
    <definedName name="Z_A22E8694_B07B_4E99_AA25_83A76CC13B05_.wvu.PrintArea" localSheetId="8" hidden="1">'1_6_Битумные материалы'!$B$2:$L$3</definedName>
    <definedName name="Z_A22E8694_B07B_4E99_AA25_83A76CC13B05_.wvu.PrintArea" localSheetId="9" hidden="1">'1_7_Композит черепица GL'!$A$2:$U$55</definedName>
    <definedName name="Z_A22E8694_B07B_4E99_AA25_83A76CC13B05_.wvu.PrintArea" localSheetId="10" hidden="1">'1_8_Композит черепица Decra'!$A$2:$S$36</definedName>
    <definedName name="Z_A22E8694_B07B_4E99_AA25_83A76CC13B05_.wvu.PrintArea" localSheetId="11" hidden="1">'1_9_Черепица Luxard'!$A$2:$N$35</definedName>
    <definedName name="Z_A22E8694_B07B_4E99_AA25_83A76CC13B05_.wvu.PrintArea" localSheetId="28" hidden="1">'2_1_ЦИНК'!$A$2:$L$86</definedName>
    <definedName name="Z_A22E8694_B07B_4E99_AA25_83A76CC13B05_.wvu.PrintArea" localSheetId="29" hidden="1">'3_1_ФАСАД'!$A$2:$X$80</definedName>
    <definedName name="Z_A22E8694_B07B_4E99_AA25_83A76CC13B05_.wvu.PrintArea" localSheetId="30" hidden="1">'3_2_Доборные элементы Фасад'!$A$2:$AI$50</definedName>
    <definedName name="Z_A22E8694_B07B_4E99_AA25_83A76CC13B05_.wvu.PrintArea" localSheetId="31" hidden="1">'3_3_Виниловый сайдинг'!$A$2:$Y$62</definedName>
    <definedName name="Z_A22E8694_B07B_4E99_AA25_83A76CC13B05_.wvu.PrintArea" localSheetId="32" hidden="1">'3_4_Декор эл-ты Mid-America'!$A$2:$M$47</definedName>
    <definedName name="Z_A22E8694_B07B_4E99_AA25_83A76CC13B05_.wvu.PrintArea" localSheetId="33" hidden="1">'3_5_Фасадные панели GL'!$A$2:$L$22</definedName>
    <definedName name="Z_A22E8694_B07B_4E99_AA25_83A76CC13B05_.wvu.PrintArea" localSheetId="34" hidden="1">'3_6_Фасадные панели'!$A$2:$M$42</definedName>
    <definedName name="Z_A22E8694_B07B_4E99_AA25_83A76CC13B05_.wvu.PrintArea" localSheetId="35" hidden="1">'3_7_Фиброцементный сайдинг'!$A$2:$P$45</definedName>
    <definedName name="Z_A22E8694_B07B_4E99_AA25_83A76CC13B05_.wvu.PrintArea" localSheetId="36" hidden="1">'3_8_ГК-профиль'!$A$2:$W$87</definedName>
    <definedName name="Z_A22E8694_B07B_4E99_AA25_83A76CC13B05_.wvu.PrintArea" localSheetId="37" hidden="1">'3_9_Навесная фасадная система'!$A$2:$L$95</definedName>
    <definedName name="Z_A22E8694_B07B_4E99_AA25_83A76CC13B05_.wvu.PrintArea" localSheetId="38" hidden="1">'4_1_ЗАБОРЫ'!$A$2:$Y$90</definedName>
    <definedName name="Z_A22E8694_B07B_4E99_AA25_83A76CC13B05_.wvu.PrintArea" localSheetId="39" hidden="1">'4_2_Панельные ограждения'!$A$2:$J$60</definedName>
    <definedName name="Z_A22E8694_B07B_4E99_AA25_83A76CC13B05_.wvu.PrintArea" localSheetId="40" hidden="1">'4_3_Эл-ты панельных ограждений'!$A$2:$S$47</definedName>
    <definedName name="Z_A22E8694_B07B_4E99_AA25_83A76CC13B05_.wvu.PrintArea" localSheetId="41" hidden="1">'4_4_Модульные ограждения GL'!$A$2:$Y$45</definedName>
    <definedName name="Z_A22E8694_B07B_4E99_AA25_83A76CC13B05_.wvu.PrintArea" localSheetId="42" hidden="1">'4_5_Временные огр и Рулон сетка'!$A$2:$M$34</definedName>
    <definedName name="Z_A22E8694_B07B_4E99_AA25_83A76CC13B05_.wvu.PrintArea" localSheetId="43" hidden="1">'4_6_Откатные ворота и Шлагбаумы'!$A$2:$S$26</definedName>
    <definedName name="Z_A22E8694_B07B_4E99_AA25_83A76CC13B05_.wvu.PrintArea" localSheetId="44" hidden="1">'4_7_Распашные ворота и калитки'!$A$2:$Q$40</definedName>
    <definedName name="Z_A22E8694_B07B_4E99_AA25_83A76CC13B05_.wvu.PrintArea" localSheetId="45" hidden="1">'4_8_Эл-ты ограждений Locinox'!$A$2:$Y$37</definedName>
    <definedName name="Z_A22E8694_B07B_4E99_AA25_83A76CC13B05_.wvu.PrintArea" localSheetId="46" hidden="1">'5_1_Гидро-пароизоляция'!$A$2:$K$66</definedName>
    <definedName name="Z_A22E8694_B07B_4E99_AA25_83A76CC13B05_.wvu.PrintArea" localSheetId="47" hidden="1">'5_2_Комплектующие'!$A$2:$K$58</definedName>
    <definedName name="Z_A22E8694_B07B_4E99_AA25_83A76CC13B05_.wvu.PrintArea" localSheetId="48" hidden="1">'5_3_Утеплители'!$A$2:$Q$75</definedName>
    <definedName name="Z_A22E8694_B07B_4E99_AA25_83A76CC13B05_.wvu.PrintArea" localSheetId="49" hidden="1">'5_4_Carbon и Planter'!$A$2:$M$56</definedName>
    <definedName name="Z_A22E8694_B07B_4E99_AA25_83A76CC13B05_.wvu.PrintArea" localSheetId="51" hidden="1">'5_6_Инструменты 2'!$A$2:$F$44</definedName>
    <definedName name="Z_A22E8694_B07B_4E99_AA25_83A76CC13B05_.wvu.PrintArea" localSheetId="53" hidden="1">'7_УПАКОВКА'!$A$2:$N$66</definedName>
    <definedName name="Z_A22E8694_B07B_4E99_AA25_83A76CC13B05_.wvu.PrintArea" localSheetId="54" hidden="1">'9_Адреса офисов'!$A$2:$D$2</definedName>
    <definedName name="Z_A22E8694_B07B_4E99_AA25_83A76CC13B05_.wvu.PrintArea" localSheetId="2" hidden="1">'Вся профилировка'!$A$2:$AH$90</definedName>
    <definedName name="Z_A22E8694_B07B_4E99_AA25_83A76CC13B05_.wvu.PrintArea" localSheetId="1" hidden="1">'Ликвидация и Акции'!$A$1:$D$3</definedName>
    <definedName name="Z_A22E8694_B07B_4E99_AA25_83A76CC13B05_.wvu.PrintArea" localSheetId="0" hidden="1">'Содержание прайса'!$A$1:$AA$80</definedName>
    <definedName name="Z_A22E8694_B07B_4E99_AA25_83A76CC13B05_.wvu.Rows" localSheetId="27" hidden="1">'1_25_Дымники и колпаки на заказ'!$8:$8,'1_25_Дымники и колпаки на заказ'!$13:$13</definedName>
    <definedName name="Z_F69A7076_9F1C_4D95_80EA_B4A9F6043254_.wvu.Cols" localSheetId="7" hidden="1">'1_5_Мягкая кровля 2'!#REF!</definedName>
    <definedName name="Z_F69A7076_9F1C_4D95_80EA_B4A9F6043254_.wvu.Cols" localSheetId="39" hidden="1">'4_2_Панельные ограждения'!#REF!</definedName>
    <definedName name="Z_F69A7076_9F1C_4D95_80EA_B4A9F6043254_.wvu.PrintArea" localSheetId="3" hidden="1">'1_1_КРОВЛЯ'!$A$2:$Y$79</definedName>
    <definedName name="Z_F69A7076_9F1C_4D95_80EA_B4A9F6043254_.wvu.PrintArea" localSheetId="12" hidden="1">'1_10_Черепица Metrotile'!$A$2:$N$51</definedName>
    <definedName name="Z_F69A7076_9F1C_4D95_80EA_B4A9F6043254_.wvu.PrintArea" localSheetId="13" hidden="1">'1_11_ЦПЧ и Керамика'!$A$2:$P$51</definedName>
    <definedName name="Z_F69A7076_9F1C_4D95_80EA_B4A9F6043254_.wvu.PrintArea" localSheetId="14" hidden="1">'1_12_Водосток GL'!$A$2:$M$28</definedName>
    <definedName name="Z_F69A7076_9F1C_4D95_80EA_B4A9F6043254_.wvu.PrintArea" localSheetId="15" hidden="1">'1_13_Водосток Optima'!$A$2:$L$35</definedName>
    <definedName name="Z_F69A7076_9F1C_4D95_80EA_B4A9F6043254_.wvu.PrintArea" localSheetId="16" hidden="1">'1_14_Водосток ПВХ GL Standart'!$A$2:$K$26</definedName>
    <definedName name="Z_F69A7076_9F1C_4D95_80EA_B4A9F6043254_.wvu.PrintArea" localSheetId="17" hidden="1">'1_15_ЭБК GL'!$A$2:$O$31</definedName>
    <definedName name="Z_F69A7076_9F1C_4D95_80EA_B4A9F6043254_.wvu.PrintArea" localSheetId="18" hidden="1">'1_16_ЭБК Optima'!$A$2:$Q$32</definedName>
    <definedName name="Z_F69A7076_9F1C_4D95_80EA_B4A9F6043254_.wvu.PrintArea" localSheetId="19" hidden="1">'1_17_Vilpe'!$A$2:$M$58</definedName>
    <definedName name="Z_F69A7076_9F1C_4D95_80EA_B4A9F6043254_.wvu.PrintArea" localSheetId="20" hidden="1">'1_18_Krovent и ТехноНиколь'!$A$2:$N$47</definedName>
    <definedName name="Z_F69A7076_9F1C_4D95_80EA_B4A9F6043254_.wvu.PrintArea" localSheetId="21" hidden="1">'1_19_Проходки MasterFlash'!$A$2:$Q$29</definedName>
    <definedName name="Z_F69A7076_9F1C_4D95_80EA_B4A9F6043254_.wvu.PrintArea" localSheetId="4" hidden="1">'1_2_Доборные элементы кровли'!$A$2:$T$90</definedName>
    <definedName name="Z_F69A7076_9F1C_4D95_80EA_B4A9F6043254_.wvu.PrintArea" localSheetId="23" hidden="1">'1_21_Fakro'!$A$2:$R$71</definedName>
    <definedName name="Z_F69A7076_9F1C_4D95_80EA_B4A9F6043254_.wvu.PrintArea" localSheetId="24" hidden="1">'1_22_VELUX OPTIMA'!$A$2:$Q$69</definedName>
    <definedName name="Z_F69A7076_9F1C_4D95_80EA_B4A9F6043254_.wvu.PrintArea" localSheetId="25" hidden="1">'1_23_VELUX PREMIUM'!$A$2:$R$63</definedName>
    <definedName name="Z_F69A7076_9F1C_4D95_80EA_B4A9F6043254_.wvu.PrintArea" localSheetId="26" hidden="1">'1_24_Флюгеры'!$A$2:$N$31</definedName>
    <definedName name="Z_F69A7076_9F1C_4D95_80EA_B4A9F6043254_.wvu.PrintArea" localSheetId="27" hidden="1">'1_25_Дымники и колпаки на заказ'!$A$2:$R$45</definedName>
    <definedName name="Z_F69A7076_9F1C_4D95_80EA_B4A9F6043254_.wvu.PrintArea" localSheetId="5" hidden="1">'1_3_ФАЛЬЦ'!$A$2:$V$72</definedName>
    <definedName name="Z_F69A7076_9F1C_4D95_80EA_B4A9F6043254_.wvu.PrintArea" localSheetId="6" hidden="1">'1_4_Мягкая кровля'!$A$2:$Z$49</definedName>
    <definedName name="Z_F69A7076_9F1C_4D95_80EA_B4A9F6043254_.wvu.PrintArea" localSheetId="7" hidden="1">'1_5_Мягкая кровля 2'!$A$2:$Y$50</definedName>
    <definedName name="Z_F69A7076_9F1C_4D95_80EA_B4A9F6043254_.wvu.PrintArea" localSheetId="8" hidden="1">'1_6_Битумные материалы'!$B$2:$L$3</definedName>
    <definedName name="Z_F69A7076_9F1C_4D95_80EA_B4A9F6043254_.wvu.PrintArea" localSheetId="9" hidden="1">'1_7_Композит черепица GL'!$A$2:$U$55</definedName>
    <definedName name="Z_F69A7076_9F1C_4D95_80EA_B4A9F6043254_.wvu.PrintArea" localSheetId="10" hidden="1">'1_8_Композит черепица Decra'!$A$2:$S$36</definedName>
    <definedName name="Z_F69A7076_9F1C_4D95_80EA_B4A9F6043254_.wvu.PrintArea" localSheetId="11" hidden="1">'1_9_Черепица Luxard'!$A$2:$N$35</definedName>
    <definedName name="Z_F69A7076_9F1C_4D95_80EA_B4A9F6043254_.wvu.PrintArea" localSheetId="28" hidden="1">'2_1_ЦИНК'!$A$2:$L$86</definedName>
    <definedName name="Z_F69A7076_9F1C_4D95_80EA_B4A9F6043254_.wvu.PrintArea" localSheetId="29" hidden="1">'3_1_ФАСАД'!$A$2:$X$80</definedName>
    <definedName name="Z_F69A7076_9F1C_4D95_80EA_B4A9F6043254_.wvu.PrintArea" localSheetId="30" hidden="1">'3_2_Доборные элементы Фасад'!$A$2:$AI$50</definedName>
    <definedName name="Z_F69A7076_9F1C_4D95_80EA_B4A9F6043254_.wvu.PrintArea" localSheetId="31" hidden="1">'3_3_Виниловый сайдинг'!$A$2:$Y$62</definedName>
    <definedName name="Z_F69A7076_9F1C_4D95_80EA_B4A9F6043254_.wvu.PrintArea" localSheetId="32" hidden="1">'3_4_Декор эл-ты Mid-America'!$A$2:$M$47</definedName>
    <definedName name="Z_F69A7076_9F1C_4D95_80EA_B4A9F6043254_.wvu.PrintArea" localSheetId="33" hidden="1">'3_5_Фасадные панели GL'!$A$2:$L$22</definedName>
    <definedName name="Z_F69A7076_9F1C_4D95_80EA_B4A9F6043254_.wvu.PrintArea" localSheetId="34" hidden="1">'3_6_Фасадные панели'!$A$2:$M$42</definedName>
    <definedName name="Z_F69A7076_9F1C_4D95_80EA_B4A9F6043254_.wvu.PrintArea" localSheetId="35" hidden="1">'3_7_Фиброцементный сайдинг'!$A$2:$P$45</definedName>
    <definedName name="Z_F69A7076_9F1C_4D95_80EA_B4A9F6043254_.wvu.PrintArea" localSheetId="36" hidden="1">'3_8_ГК-профиль'!$A$2:$W$87</definedName>
    <definedName name="Z_F69A7076_9F1C_4D95_80EA_B4A9F6043254_.wvu.PrintArea" localSheetId="37" hidden="1">'3_9_Навесная фасадная система'!$A$2:$L$95</definedName>
    <definedName name="Z_F69A7076_9F1C_4D95_80EA_B4A9F6043254_.wvu.PrintArea" localSheetId="38" hidden="1">'4_1_ЗАБОРЫ'!$A$2:$Y$90</definedName>
    <definedName name="Z_F69A7076_9F1C_4D95_80EA_B4A9F6043254_.wvu.PrintArea" localSheetId="39" hidden="1">'4_2_Панельные ограждения'!$A$2:$J$60</definedName>
    <definedName name="Z_F69A7076_9F1C_4D95_80EA_B4A9F6043254_.wvu.PrintArea" localSheetId="40" hidden="1">'4_3_Эл-ты панельных ограждений'!$A$2:$S$47</definedName>
    <definedName name="Z_F69A7076_9F1C_4D95_80EA_B4A9F6043254_.wvu.PrintArea" localSheetId="41" hidden="1">'4_4_Модульные ограждения GL'!$A$2:$Y$45</definedName>
    <definedName name="Z_F69A7076_9F1C_4D95_80EA_B4A9F6043254_.wvu.PrintArea" localSheetId="42" hidden="1">'4_5_Временные огр и Рулон сетка'!$A$2:$M$34</definedName>
    <definedName name="Z_F69A7076_9F1C_4D95_80EA_B4A9F6043254_.wvu.PrintArea" localSheetId="43" hidden="1">'4_6_Откатные ворота и Шлагбаумы'!$A$2:$S$26</definedName>
    <definedName name="Z_F69A7076_9F1C_4D95_80EA_B4A9F6043254_.wvu.PrintArea" localSheetId="44" hidden="1">'4_7_Распашные ворота и калитки'!$A$2:$Q$40</definedName>
    <definedName name="Z_F69A7076_9F1C_4D95_80EA_B4A9F6043254_.wvu.PrintArea" localSheetId="45" hidden="1">'4_8_Эл-ты ограждений Locinox'!$A$2:$Y$37</definedName>
    <definedName name="Z_F69A7076_9F1C_4D95_80EA_B4A9F6043254_.wvu.PrintArea" localSheetId="46" hidden="1">'5_1_Гидро-пароизоляция'!$A$2:$K$66</definedName>
    <definedName name="Z_F69A7076_9F1C_4D95_80EA_B4A9F6043254_.wvu.PrintArea" localSheetId="47" hidden="1">'5_2_Комплектующие'!$A$2:$K$58</definedName>
    <definedName name="Z_F69A7076_9F1C_4D95_80EA_B4A9F6043254_.wvu.PrintArea" localSheetId="48" hidden="1">'5_3_Утеплители'!$A$2:$Q$75</definedName>
    <definedName name="Z_F69A7076_9F1C_4D95_80EA_B4A9F6043254_.wvu.PrintArea" localSheetId="49" hidden="1">'5_4_Carbon и Planter'!$A$2:$M$56</definedName>
    <definedName name="Z_F69A7076_9F1C_4D95_80EA_B4A9F6043254_.wvu.PrintArea" localSheetId="50" hidden="1">'5_5_Инструменты'!$A$2:$K$54</definedName>
    <definedName name="Z_F69A7076_9F1C_4D95_80EA_B4A9F6043254_.wvu.PrintArea" localSheetId="51" hidden="1">'5_6_Инструменты 2'!$A$2:$F$44</definedName>
    <definedName name="Z_F69A7076_9F1C_4D95_80EA_B4A9F6043254_.wvu.PrintArea" localSheetId="52" hidden="1">'6_1_Террасная доска и Теплицы'!$A$2:$Q$41</definedName>
    <definedName name="Z_F69A7076_9F1C_4D95_80EA_B4A9F6043254_.wvu.PrintArea" localSheetId="53" hidden="1">'7_УПАКОВКА'!$A$2:$N$66</definedName>
    <definedName name="Z_F69A7076_9F1C_4D95_80EA_B4A9F6043254_.wvu.PrintArea" localSheetId="54" hidden="1">'9_Адреса офисов'!$A$2:$D$2</definedName>
    <definedName name="Z_F69A7076_9F1C_4D95_80EA_B4A9F6043254_.wvu.PrintArea" localSheetId="2" hidden="1">'Вся профилировка'!$A$2:$AH$90</definedName>
    <definedName name="Z_F69A7076_9F1C_4D95_80EA_B4A9F6043254_.wvu.PrintArea" localSheetId="1" hidden="1">'Ликвидация и Акции'!$A$1:$D$3</definedName>
    <definedName name="Z_F69A7076_9F1C_4D95_80EA_B4A9F6043254_.wvu.PrintArea" localSheetId="0" hidden="1">'Содержание прайса'!$A$1:$AA$80</definedName>
    <definedName name="Z_F69A7076_9F1C_4D95_80EA_B4A9F6043254_.wvu.Rows" localSheetId="27" hidden="1">'1_25_Дымники и колпаки на заказ'!$8:$8,'1_25_Дымники и колпаки на заказ'!$13:$13</definedName>
    <definedName name="_xlnm.Print_Area" localSheetId="3">'1_1_КРОВЛЯ'!$A$2:$Y$80</definedName>
    <definedName name="_xlnm.Print_Area" localSheetId="12">'1_10_Черепица Metrotile'!$A$2:$N$51</definedName>
    <definedName name="_xlnm.Print_Area" localSheetId="13">'1_11_ЦПЧ и Керамика'!$A$2:$P$50</definedName>
    <definedName name="_xlnm.Print_Area" localSheetId="14">'1_12_Водосток GL'!$A$2:$M$29</definedName>
    <definedName name="_xlnm.Print_Area" localSheetId="15">'1_13_Водосток Optima'!$A$2:$L$35</definedName>
    <definedName name="_xlnm.Print_Area" localSheetId="16">'1_14_Водосток ПВХ GL Standart'!$A$2:$K$26</definedName>
    <definedName name="_xlnm.Print_Area" localSheetId="17">'1_15_ЭБК GL'!$A$2:$O$31</definedName>
    <definedName name="_xlnm.Print_Area" localSheetId="18">'1_16_ЭБК Optima'!$A$2:$Q$32</definedName>
    <definedName name="_xlnm.Print_Area" localSheetId="19">'1_17_Vilpe'!$A$2:$M$59</definedName>
    <definedName name="_xlnm.Print_Area" localSheetId="20">'1_18_Krovent и ТехноНиколь'!$A$2:$N$42</definedName>
    <definedName name="_xlnm.Print_Area" localSheetId="21">'1_19_Проходки MasterFlash'!$A$2:$Q$29</definedName>
    <definedName name="_xlnm.Print_Area" localSheetId="4">'1_2_Доборные элементы кровли'!$A$2:$T$90</definedName>
    <definedName name="_xlnm.Print_Area" localSheetId="22">'1_20_Дымоходы Ferrum'!$A$2:$AR$93</definedName>
    <definedName name="_xlnm.Print_Area" localSheetId="23">'1_21_Fakro'!$A$2:$R$71</definedName>
    <definedName name="_xlnm.Print_Area" localSheetId="24">'1_22_VELUX OPTIMA'!$A$2:$Q$69</definedName>
    <definedName name="_xlnm.Print_Area" localSheetId="25">'1_23_VELUX PREMIUM'!$A$2:$R$63</definedName>
    <definedName name="_xlnm.Print_Area" localSheetId="26">'1_24_Флюгеры'!$A$2:$N$31</definedName>
    <definedName name="_xlnm.Print_Area" localSheetId="27">'1_25_Дымники и колпаки на заказ'!$A$2:$R$45</definedName>
    <definedName name="_xlnm.Print_Area" localSheetId="5">'1_3_ФАЛЬЦ'!$A$2:$V$70</definedName>
    <definedName name="_xlnm.Print_Area" localSheetId="6">'1_4_Мягкая кровля'!$A$2:$Z$48</definedName>
    <definedName name="_xlnm.Print_Area" localSheetId="7">'1_5_Мягкая кровля 2'!$A$2:$Y$50</definedName>
    <definedName name="_xlnm.Print_Area" localSheetId="8">'1_6_Битумные материалы'!$A$2:$L$50</definedName>
    <definedName name="_xlnm.Print_Area" localSheetId="9">'1_7_Композит черепица GL'!$A$2:$U$55</definedName>
    <definedName name="_xlnm.Print_Area" localSheetId="10">'1_8_Композит черепица Decra'!$A$2:$S$64</definedName>
    <definedName name="_xlnm.Print_Area" localSheetId="11">'1_9_Черепица Luxard'!$A$2:$N$35</definedName>
    <definedName name="_xlnm.Print_Area" localSheetId="28">'2_1_ЦИНК'!$A$2:$L$86</definedName>
    <definedName name="_xlnm.Print_Area" localSheetId="29">'3_1_ФАСАД'!$A$2:$X$80</definedName>
    <definedName name="_xlnm.Print_Area" localSheetId="30">'3_2_Доборные элементы Фасад'!$A$2:$AI$50</definedName>
    <definedName name="_xlnm.Print_Area" localSheetId="31">'3_3_Виниловый сайдинг'!$A$2:$AD$65</definedName>
    <definedName name="_xlnm.Print_Area" localSheetId="32">'3_4_Декор эл-ты Mid-America'!$A$2:$M$48</definedName>
    <definedName name="_xlnm.Print_Area" localSheetId="33">'3_5_Фасадные панели GL'!$A$2:$L$46</definedName>
    <definedName name="_xlnm.Print_Area" localSheetId="34">'3_6_Фасадные панели'!$A$2:$M$46</definedName>
    <definedName name="_xlnm.Print_Area" localSheetId="35">'3_7_Фиброцементный сайдинг'!$A$2:$P$47</definedName>
    <definedName name="_xlnm.Print_Area" localSheetId="36">'3_8_ГК-профиль'!$A$1:$W$89</definedName>
    <definedName name="_xlnm.Print_Area" localSheetId="37">'3_9_Навесная фасадная система'!$A$2:$L$95</definedName>
    <definedName name="_xlnm.Print_Area" localSheetId="38">'4_1_ЗАБОРЫ'!$A$2:$Z$94</definedName>
    <definedName name="_xlnm.Print_Area" localSheetId="39">'4_2_Панельные ограждения'!$A$2:$J$60</definedName>
    <definedName name="_xlnm.Print_Area" localSheetId="40">'4_3_Эл-ты панельных ограждений'!$A$2:$S$45</definedName>
    <definedName name="_xlnm.Print_Area" localSheetId="41">'4_4_Модульные ограждения GL'!$A$2:$Y$45</definedName>
    <definedName name="_xlnm.Print_Area" localSheetId="42">'4_5_Временные огр и Рулон сетка'!$A$2:$M$35</definedName>
    <definedName name="_xlnm.Print_Area" localSheetId="43">'4_6_Откатные ворота и Шлагбаумы'!$A$2:$S$25</definedName>
    <definedName name="_xlnm.Print_Area" localSheetId="44">'4_7_Распашные ворота и калитки'!$A$2:$S$39</definedName>
    <definedName name="_xlnm.Print_Area" localSheetId="45">'4_8_Эл-ты ограждений Locinox'!$A$2:$Y$37</definedName>
    <definedName name="_xlnm.Print_Area" localSheetId="46">'5_1_Гидро-пароизоляция'!$A$2:$K$66</definedName>
    <definedName name="_xlnm.Print_Area" localSheetId="47">'5_2_Комплектующие'!$A$2:$K$63</definedName>
    <definedName name="_xlnm.Print_Area" localSheetId="48">'5_3_Утеплители'!$A$2:$Q$75</definedName>
    <definedName name="_xlnm.Print_Area" localSheetId="49">'5_4_Carbon и Planter'!$A$2:$AA$55</definedName>
    <definedName name="_xlnm.Print_Area" localSheetId="50">'5_5_Инструменты'!$A$2:$K$55</definedName>
    <definedName name="_xlnm.Print_Area" localSheetId="51">'5_6_Инструменты 2'!$A$2:$F$44</definedName>
    <definedName name="_xlnm.Print_Area" localSheetId="52">'6_1_Террасная доска и Теплицы'!$A$2:$Q$43</definedName>
    <definedName name="_xlnm.Print_Area" localSheetId="53">'7_УПАКОВКА'!$A$2:$N$66</definedName>
    <definedName name="_xlnm.Print_Area" localSheetId="54">'9_Адреса офисов'!$A$2:$I$2</definedName>
    <definedName name="_xlnm.Print_Area" localSheetId="2">'Вся профилировка'!$A$2:$AH$87</definedName>
    <definedName name="_xlnm.Print_Area" localSheetId="1">'Ликвидация и Акции'!$A$1:$K$51</definedName>
    <definedName name="_xlnm.Print_Area" localSheetId="0">'Содержание прайса'!$A$1:$AA$85</definedName>
  </definedNames>
  <calcPr calcId="162913" fullCalcOnLoad="1"/>
</workbook>
</file>

<file path=xl/calcChain.xml><?xml version="1.0" encoding="utf-8"?>
<calcChain xmlns="http://schemas.openxmlformats.org/spreadsheetml/2006/main">
  <c r="F1" i="1" l="1"/>
  <c r="R64" i="277"/>
  <c r="O64" i="277"/>
  <c r="L64" i="277"/>
  <c r="I64" i="277"/>
  <c r="E64" i="277"/>
  <c r="B64" i="277"/>
  <c r="R63" i="277"/>
  <c r="Q63" i="277"/>
  <c r="P63" i="277"/>
  <c r="N63" i="277"/>
  <c r="K63" i="277"/>
  <c r="G63" i="277"/>
  <c r="D63" i="277"/>
  <c r="B61" i="277"/>
  <c r="B60" i="277"/>
  <c r="O59" i="277"/>
  <c r="L59" i="277"/>
  <c r="G59" i="277"/>
  <c r="D59" i="277"/>
  <c r="K58" i="277"/>
  <c r="C58" i="277"/>
  <c r="Q57" i="277"/>
  <c r="N57" i="277"/>
  <c r="L57" i="277"/>
  <c r="D57" i="277"/>
  <c r="L56" i="277"/>
  <c r="D56" i="277"/>
  <c r="R55" i="277"/>
  <c r="P55" i="277"/>
  <c r="O55" i="277"/>
  <c r="M55" i="277"/>
  <c r="L55" i="277"/>
  <c r="J55" i="277"/>
  <c r="I55" i="277"/>
  <c r="G55" i="277"/>
  <c r="E55" i="277"/>
  <c r="D55" i="277"/>
  <c r="B55" i="277"/>
  <c r="R54" i="277"/>
  <c r="O54" i="277"/>
  <c r="M54" i="277"/>
  <c r="L54" i="277"/>
  <c r="J54" i="277"/>
  <c r="G54" i="277"/>
  <c r="E54" i="277"/>
  <c r="D54" i="277"/>
  <c r="B54" i="277"/>
  <c r="R51" i="277"/>
  <c r="Q51" i="277"/>
  <c r="P51" i="277"/>
  <c r="O51" i="277"/>
  <c r="N51" i="277"/>
  <c r="L51" i="277"/>
  <c r="I51" i="277"/>
  <c r="G51" i="277"/>
  <c r="E51" i="277"/>
  <c r="D51" i="277"/>
  <c r="B51" i="277"/>
  <c r="K48" i="277"/>
  <c r="K47" i="277"/>
  <c r="R46" i="277"/>
  <c r="Q46" i="277"/>
  <c r="P46" i="277"/>
  <c r="O46" i="277"/>
  <c r="N46" i="277"/>
  <c r="M46" i="277"/>
  <c r="L46" i="277"/>
  <c r="K46" i="277"/>
  <c r="I46" i="277"/>
  <c r="G46" i="277"/>
  <c r="E46" i="277"/>
  <c r="D46" i="277"/>
  <c r="B46" i="277"/>
  <c r="R45" i="277"/>
  <c r="Q45" i="277"/>
  <c r="P45" i="277"/>
  <c r="O45" i="277"/>
  <c r="N45" i="277"/>
  <c r="M45" i="277"/>
  <c r="L45" i="277"/>
  <c r="K45" i="277"/>
  <c r="I45" i="277"/>
  <c r="G45" i="277"/>
  <c r="E45" i="277"/>
  <c r="D45" i="277"/>
  <c r="B45" i="277"/>
  <c r="R44" i="277"/>
  <c r="Q44" i="277"/>
  <c r="P44" i="277"/>
  <c r="O44" i="277"/>
  <c r="N44" i="277"/>
  <c r="M44" i="277"/>
  <c r="L44" i="277"/>
  <c r="K44" i="277"/>
  <c r="I44" i="277"/>
  <c r="G44" i="277"/>
  <c r="E44" i="277"/>
  <c r="D44" i="277"/>
  <c r="B44" i="277"/>
  <c r="R43" i="277"/>
  <c r="Q43" i="277"/>
  <c r="P43" i="277"/>
  <c r="O43" i="277"/>
  <c r="N43" i="277"/>
  <c r="M43" i="277"/>
  <c r="L43" i="277"/>
  <c r="K43" i="277"/>
  <c r="I43" i="277"/>
  <c r="G43" i="277"/>
  <c r="E43" i="277"/>
  <c r="D43" i="277"/>
  <c r="B43" i="277"/>
  <c r="R42" i="277"/>
  <c r="Q42" i="277"/>
  <c r="P42" i="277"/>
  <c r="O42" i="277"/>
  <c r="N42" i="277"/>
  <c r="L42" i="277"/>
  <c r="K42" i="277"/>
  <c r="I42" i="277"/>
  <c r="G42" i="277"/>
  <c r="E42" i="277"/>
  <c r="D42" i="277"/>
  <c r="B42" i="277"/>
  <c r="R41" i="277"/>
  <c r="Q41" i="277"/>
  <c r="P41" i="277"/>
  <c r="O41" i="277"/>
  <c r="N41" i="277"/>
  <c r="M41" i="277"/>
  <c r="L41" i="277"/>
  <c r="K41" i="277"/>
  <c r="I41" i="277"/>
  <c r="G41" i="277"/>
  <c r="E41" i="277"/>
  <c r="D41" i="277"/>
  <c r="B41" i="277"/>
  <c r="R39" i="277"/>
  <c r="Q39" i="277"/>
  <c r="P39" i="277"/>
  <c r="O39" i="277"/>
  <c r="N39" i="277"/>
  <c r="M39" i="277"/>
  <c r="L39" i="277"/>
  <c r="K39" i="277"/>
  <c r="I39" i="277"/>
  <c r="G39" i="277"/>
  <c r="E39" i="277"/>
  <c r="D39" i="277"/>
  <c r="B39" i="277"/>
  <c r="B37" i="277"/>
  <c r="B36" i="277"/>
  <c r="B35" i="277"/>
  <c r="B33" i="277"/>
  <c r="B32" i="277"/>
  <c r="B31" i="277"/>
  <c r="B30" i="277"/>
  <c r="O28" i="277"/>
  <c r="N28" i="277"/>
  <c r="M28" i="277"/>
  <c r="L28" i="277"/>
  <c r="K28" i="277"/>
  <c r="I28" i="277"/>
  <c r="G28" i="277"/>
  <c r="E28" i="277"/>
  <c r="D28" i="277"/>
  <c r="B28" i="277"/>
  <c r="O27" i="277"/>
  <c r="N27" i="277"/>
  <c r="M27" i="277"/>
  <c r="L27" i="277"/>
  <c r="K27" i="277"/>
  <c r="I27" i="277"/>
  <c r="G27" i="277"/>
  <c r="E27" i="277"/>
  <c r="D27" i="277"/>
  <c r="B27" i="277"/>
  <c r="R25" i="277"/>
  <c r="E25" i="277"/>
  <c r="R24" i="277"/>
  <c r="E24" i="277"/>
  <c r="R23" i="277"/>
  <c r="E23" i="277"/>
  <c r="O21" i="277"/>
  <c r="N21" i="277"/>
  <c r="M21" i="277"/>
  <c r="L21" i="277"/>
  <c r="K21" i="277"/>
  <c r="I21" i="277"/>
  <c r="G21" i="277"/>
  <c r="E21" i="277"/>
  <c r="D21" i="277"/>
  <c r="B21" i="277"/>
  <c r="R19" i="277"/>
  <c r="Q19" i="277"/>
  <c r="P19" i="277"/>
  <c r="O19" i="277"/>
  <c r="N19" i="277"/>
  <c r="M19" i="277"/>
  <c r="L19" i="277"/>
  <c r="K19" i="277"/>
  <c r="I19" i="277"/>
  <c r="G19" i="277"/>
  <c r="E19" i="277"/>
  <c r="D19" i="277"/>
  <c r="B19" i="277"/>
  <c r="R18" i="277"/>
  <c r="Q18" i="277"/>
  <c r="P18" i="277"/>
  <c r="O18" i="277"/>
  <c r="N18" i="277"/>
  <c r="M18" i="277"/>
  <c r="L18" i="277"/>
  <c r="K18" i="277"/>
  <c r="I18" i="277"/>
  <c r="G18" i="277"/>
  <c r="E18" i="277"/>
  <c r="D18" i="277"/>
  <c r="B18" i="277"/>
  <c r="R16" i="277"/>
  <c r="Q16" i="277"/>
  <c r="P16" i="277"/>
  <c r="O16" i="277"/>
  <c r="N16" i="277"/>
  <c r="M16" i="277"/>
  <c r="L16" i="277"/>
  <c r="K16" i="277"/>
  <c r="I16" i="277"/>
  <c r="G16" i="277"/>
  <c r="E16" i="277"/>
  <c r="D16" i="277"/>
  <c r="R15" i="277"/>
  <c r="Q15" i="277"/>
  <c r="P15" i="277"/>
  <c r="O15" i="277"/>
  <c r="N15" i="277"/>
  <c r="M15" i="277"/>
  <c r="L15" i="277"/>
  <c r="K15" i="277"/>
  <c r="I15" i="277"/>
  <c r="G15" i="277"/>
  <c r="E15" i="277"/>
  <c r="D15" i="277"/>
  <c r="B15" i="277"/>
  <c r="R14" i="277"/>
  <c r="Q14" i="277"/>
  <c r="P14" i="277"/>
  <c r="O14" i="277"/>
  <c r="N14" i="277"/>
  <c r="M14" i="277"/>
  <c r="L14" i="277"/>
  <c r="K14" i="277"/>
  <c r="I14" i="277"/>
  <c r="G14" i="277"/>
  <c r="E14" i="277"/>
  <c r="D14" i="277"/>
  <c r="B14" i="277"/>
  <c r="R13" i="277"/>
  <c r="Q13" i="277"/>
  <c r="P13" i="277"/>
  <c r="O13" i="277"/>
  <c r="N13" i="277"/>
  <c r="M13" i="277"/>
  <c r="L13" i="277"/>
  <c r="K13" i="277"/>
  <c r="I13" i="277"/>
  <c r="G13" i="277"/>
  <c r="E13" i="277"/>
  <c r="D13" i="277"/>
  <c r="B13" i="277"/>
  <c r="R12" i="277"/>
  <c r="Q12" i="277"/>
  <c r="P12" i="277"/>
  <c r="O12" i="277"/>
  <c r="N12" i="277"/>
  <c r="M12" i="277"/>
  <c r="L12" i="277"/>
  <c r="K12" i="277"/>
  <c r="I12" i="277"/>
  <c r="G12" i="277"/>
  <c r="E12" i="277"/>
  <c r="D12" i="277"/>
  <c r="B12" i="277"/>
  <c r="R11" i="277"/>
  <c r="Q11" i="277"/>
  <c r="P11" i="277"/>
  <c r="O11" i="277"/>
  <c r="N11" i="277"/>
  <c r="M11" i="277"/>
  <c r="L11" i="277"/>
  <c r="K11" i="277"/>
  <c r="I11" i="277"/>
  <c r="G11" i="277"/>
  <c r="E11" i="277"/>
  <c r="D11" i="277"/>
  <c r="B11" i="277"/>
  <c r="R10" i="277"/>
  <c r="Q10" i="277"/>
  <c r="P10" i="277"/>
  <c r="O10" i="277"/>
  <c r="N10" i="277"/>
  <c r="M10" i="277"/>
  <c r="L10" i="277"/>
  <c r="K10" i="277"/>
  <c r="I10" i="277"/>
  <c r="G10" i="277"/>
  <c r="E10" i="277"/>
  <c r="D10" i="277"/>
  <c r="B10" i="277"/>
  <c r="R9" i="277"/>
  <c r="Q9" i="277"/>
  <c r="P9" i="277"/>
  <c r="O9" i="277"/>
  <c r="N9" i="277"/>
  <c r="M9" i="277"/>
  <c r="L9" i="277"/>
  <c r="K9" i="277"/>
  <c r="I9" i="277"/>
  <c r="G9" i="277"/>
  <c r="E9" i="277"/>
  <c r="D9" i="277"/>
  <c r="B9" i="277"/>
  <c r="R8" i="277"/>
  <c r="Q8" i="277"/>
  <c r="P8" i="277"/>
  <c r="O8" i="277"/>
  <c r="N8" i="277"/>
  <c r="M8" i="277"/>
  <c r="L8" i="277"/>
  <c r="K8" i="277"/>
  <c r="I8" i="277"/>
  <c r="G8" i="277"/>
  <c r="E8" i="277"/>
  <c r="D8" i="277"/>
  <c r="B8" i="277"/>
  <c r="Q7" i="277"/>
  <c r="E45" i="276"/>
  <c r="L44" i="276"/>
  <c r="E44" i="276"/>
  <c r="L43" i="276"/>
  <c r="E43" i="276"/>
  <c r="E42" i="276"/>
  <c r="E41" i="276"/>
  <c r="L40" i="276"/>
  <c r="E40" i="276"/>
  <c r="K34" i="276"/>
  <c r="K33" i="276"/>
  <c r="K31" i="276"/>
  <c r="L31" i="276"/>
  <c r="K30" i="276"/>
  <c r="L30" i="276"/>
  <c r="K29" i="276"/>
  <c r="L29" i="276"/>
  <c r="K24" i="276"/>
  <c r="L23" i="276"/>
  <c r="K23" i="276"/>
  <c r="J23" i="276"/>
  <c r="I23" i="276"/>
  <c r="H23" i="276"/>
  <c r="G23" i="276"/>
  <c r="K22" i="276"/>
  <c r="J22" i="276"/>
  <c r="I22" i="276"/>
  <c r="H22" i="276"/>
  <c r="G22" i="276"/>
  <c r="K21" i="276"/>
  <c r="G21" i="276"/>
  <c r="L20" i="276"/>
  <c r="K20" i="276"/>
  <c r="J20" i="276"/>
  <c r="I20" i="276"/>
  <c r="H20" i="276"/>
  <c r="G20" i="276"/>
  <c r="K11" i="276"/>
  <c r="L10" i="276"/>
  <c r="K10" i="276"/>
  <c r="K9" i="276"/>
  <c r="L9" i="276"/>
  <c r="L8" i="276"/>
  <c r="K8" i="276"/>
  <c r="L7" i="276"/>
  <c r="K7" i="276"/>
  <c r="K6" i="276"/>
  <c r="L6" i="276"/>
  <c r="N51" i="275"/>
  <c r="N50" i="275"/>
  <c r="N49" i="275"/>
  <c r="N48" i="275"/>
  <c r="N47" i="275"/>
  <c r="N46" i="275"/>
  <c r="F46" i="275"/>
  <c r="F45" i="275"/>
  <c r="N44" i="275"/>
  <c r="F44" i="275"/>
  <c r="N43" i="275"/>
  <c r="F43" i="275"/>
  <c r="N42" i="275"/>
  <c r="F42" i="275"/>
  <c r="N41" i="275"/>
  <c r="F41" i="275"/>
  <c r="N40" i="275"/>
  <c r="F40" i="275"/>
  <c r="N39" i="275"/>
  <c r="F39" i="275"/>
  <c r="N38" i="275"/>
  <c r="F38" i="275"/>
  <c r="N37" i="275"/>
  <c r="F37" i="275"/>
  <c r="F36" i="275"/>
  <c r="N35" i="275"/>
  <c r="F35" i="275"/>
  <c r="N34" i="275"/>
  <c r="F34" i="275"/>
  <c r="N33" i="275"/>
  <c r="F33" i="275"/>
  <c r="N32" i="275"/>
  <c r="F32" i="275"/>
  <c r="F31" i="275"/>
  <c r="N30" i="275"/>
  <c r="F30" i="275"/>
  <c r="N29" i="275"/>
  <c r="F29" i="275"/>
  <c r="N28" i="275"/>
  <c r="F28" i="275"/>
  <c r="G28" i="275"/>
  <c r="N27" i="275"/>
  <c r="F27" i="275"/>
  <c r="G27" i="275"/>
  <c r="N25" i="275"/>
  <c r="F25" i="275"/>
  <c r="G25" i="275"/>
  <c r="N24" i="275"/>
  <c r="F24" i="275"/>
  <c r="G24" i="275"/>
  <c r="N22" i="275"/>
  <c r="F22" i="275"/>
  <c r="G22" i="275"/>
  <c r="N21" i="275"/>
  <c r="F21" i="275"/>
  <c r="G21" i="275"/>
  <c r="N20" i="275"/>
  <c r="F20" i="275"/>
  <c r="G20" i="275"/>
  <c r="N19" i="275"/>
  <c r="F19" i="275"/>
  <c r="G19" i="275"/>
  <c r="N18" i="275"/>
  <c r="F18" i="275"/>
  <c r="G18" i="275"/>
  <c r="N17" i="275"/>
  <c r="F17" i="275"/>
  <c r="G17" i="275"/>
  <c r="N15" i="275"/>
  <c r="F15" i="275"/>
  <c r="G15" i="275"/>
  <c r="N14" i="275"/>
  <c r="F14" i="275"/>
  <c r="G14" i="275"/>
  <c r="N13" i="275"/>
  <c r="F13" i="275"/>
  <c r="G13" i="275"/>
  <c r="N12" i="275"/>
  <c r="F12" i="275"/>
  <c r="G12" i="275"/>
  <c r="F11" i="275"/>
  <c r="G11" i="275"/>
  <c r="N10" i="275"/>
  <c r="N9" i="275"/>
  <c r="F8" i="275"/>
  <c r="G8" i="275"/>
  <c r="F7" i="275"/>
  <c r="G7" i="275"/>
  <c r="N6" i="275"/>
  <c r="F34" i="274"/>
  <c r="F33" i="274"/>
  <c r="F32" i="274"/>
  <c r="F31" i="274"/>
  <c r="F30" i="274"/>
  <c r="F27" i="274"/>
  <c r="N26" i="274"/>
  <c r="N25" i="274"/>
  <c r="F25" i="274"/>
  <c r="N24" i="274"/>
  <c r="F24" i="274"/>
  <c r="N23" i="274"/>
  <c r="F22" i="274"/>
  <c r="N21" i="274"/>
  <c r="F21" i="274"/>
  <c r="F20" i="274"/>
  <c r="N19" i="274"/>
  <c r="F19" i="274"/>
  <c r="N18" i="274"/>
  <c r="F18" i="274"/>
  <c r="N17" i="274"/>
  <c r="F17" i="274"/>
  <c r="N16" i="274"/>
  <c r="F16" i="274"/>
  <c r="N15" i="274"/>
  <c r="F15" i="274"/>
  <c r="F14" i="274"/>
  <c r="N13" i="274"/>
  <c r="F13" i="274"/>
  <c r="F12" i="274"/>
  <c r="N11" i="274"/>
  <c r="F10" i="274"/>
  <c r="G10" i="274"/>
  <c r="N9" i="274"/>
  <c r="F9" i="274"/>
  <c r="G9" i="274"/>
  <c r="F8" i="274"/>
  <c r="G8" i="274"/>
  <c r="F7" i="274"/>
  <c r="G7" i="274"/>
  <c r="N6" i="274"/>
  <c r="E62" i="273"/>
  <c r="E61" i="273"/>
  <c r="E60" i="273"/>
  <c r="E59" i="273"/>
  <c r="S56" i="273"/>
  <c r="R56" i="273"/>
  <c r="Q56" i="273"/>
  <c r="P56" i="273"/>
  <c r="O56" i="273"/>
  <c r="I56" i="273"/>
  <c r="H56" i="273"/>
  <c r="G56" i="273"/>
  <c r="F56" i="273"/>
  <c r="E56" i="273"/>
  <c r="S55" i="273"/>
  <c r="R55" i="273"/>
  <c r="Q55" i="273"/>
  <c r="P55" i="273"/>
  <c r="O55" i="273"/>
  <c r="I55" i="273"/>
  <c r="H55" i="273"/>
  <c r="G55" i="273"/>
  <c r="F55" i="273"/>
  <c r="E55" i="273"/>
  <c r="S54" i="273"/>
  <c r="R54" i="273"/>
  <c r="Q54" i="273"/>
  <c r="P54" i="273"/>
  <c r="O54" i="273"/>
  <c r="I54" i="273"/>
  <c r="H54" i="273"/>
  <c r="G54" i="273"/>
  <c r="F54" i="273"/>
  <c r="E54" i="273"/>
  <c r="S53" i="273"/>
  <c r="R53" i="273"/>
  <c r="Q53" i="273"/>
  <c r="P53" i="273"/>
  <c r="O53" i="273"/>
  <c r="I53" i="273"/>
  <c r="H53" i="273"/>
  <c r="G53" i="273"/>
  <c r="F53" i="273"/>
  <c r="E53" i="273"/>
  <c r="S52" i="273"/>
  <c r="R52" i="273"/>
  <c r="Q52" i="273"/>
  <c r="P52" i="273"/>
  <c r="O52" i="273"/>
  <c r="I52" i="273"/>
  <c r="H52" i="273"/>
  <c r="G52" i="273"/>
  <c r="F52" i="273"/>
  <c r="E52" i="273"/>
  <c r="S51" i="273"/>
  <c r="R51" i="273"/>
  <c r="Q51" i="273"/>
  <c r="P51" i="273"/>
  <c r="O51" i="273"/>
  <c r="I51" i="273"/>
  <c r="H51" i="273"/>
  <c r="G51" i="273"/>
  <c r="F51" i="273"/>
  <c r="E51" i="273"/>
  <c r="S50" i="273"/>
  <c r="R50" i="273"/>
  <c r="Q50" i="273"/>
  <c r="P50" i="273"/>
  <c r="O50" i="273"/>
  <c r="I50" i="273"/>
  <c r="H50" i="273"/>
  <c r="G50" i="273"/>
  <c r="F50" i="273"/>
  <c r="E50" i="273"/>
  <c r="S48" i="273"/>
  <c r="R48" i="273"/>
  <c r="Q48" i="273"/>
  <c r="P48" i="273"/>
  <c r="O48" i="273"/>
  <c r="I48" i="273"/>
  <c r="H48" i="273"/>
  <c r="G48" i="273"/>
  <c r="F48" i="273"/>
  <c r="E48" i="273"/>
  <c r="S47" i="273"/>
  <c r="R47" i="273"/>
  <c r="Q47" i="273"/>
  <c r="P47" i="273"/>
  <c r="O47" i="273"/>
  <c r="I47" i="273"/>
  <c r="H47" i="273"/>
  <c r="G47" i="273"/>
  <c r="F47" i="273"/>
  <c r="E47" i="273"/>
  <c r="S46" i="273"/>
  <c r="R46" i="273"/>
  <c r="Q46" i="273"/>
  <c r="P46" i="273"/>
  <c r="O46" i="273"/>
  <c r="I46" i="273"/>
  <c r="H46" i="273"/>
  <c r="G46" i="273"/>
  <c r="F46" i="273"/>
  <c r="E46" i="273"/>
  <c r="S45" i="273"/>
  <c r="R45" i="273"/>
  <c r="Q45" i="273"/>
  <c r="P45" i="273"/>
  <c r="O45" i="273"/>
  <c r="I45" i="273"/>
  <c r="H45" i="273"/>
  <c r="G45" i="273"/>
  <c r="F45" i="273"/>
  <c r="E45" i="273"/>
  <c r="S44" i="273"/>
  <c r="R44" i="273"/>
  <c r="Q44" i="273"/>
  <c r="P44" i="273"/>
  <c r="O44" i="273"/>
  <c r="I44" i="273"/>
  <c r="H44" i="273"/>
  <c r="G44" i="273"/>
  <c r="F44" i="273"/>
  <c r="E44" i="273"/>
  <c r="S43" i="273"/>
  <c r="R43" i="273"/>
  <c r="Q43" i="273"/>
  <c r="P43" i="273"/>
  <c r="O43" i="273"/>
  <c r="I43" i="273"/>
  <c r="H43" i="273"/>
  <c r="G43" i="273"/>
  <c r="F43" i="273"/>
  <c r="E43" i="273"/>
  <c r="S42" i="273"/>
  <c r="R42" i="273"/>
  <c r="Q42" i="273"/>
  <c r="P42" i="273"/>
  <c r="O42" i="273"/>
  <c r="S41" i="273"/>
  <c r="R41" i="273"/>
  <c r="Q41" i="273"/>
  <c r="P41" i="273"/>
  <c r="O41" i="273"/>
  <c r="S40" i="273"/>
  <c r="R40" i="273"/>
  <c r="Q40" i="273"/>
  <c r="P40" i="273"/>
  <c r="O40" i="273"/>
  <c r="I40" i="273"/>
  <c r="H40" i="273"/>
  <c r="G40" i="273"/>
  <c r="F40" i="273"/>
  <c r="E40" i="273"/>
  <c r="S39" i="273"/>
  <c r="R39" i="273"/>
  <c r="Q39" i="273"/>
  <c r="P39" i="273"/>
  <c r="O39" i="273"/>
  <c r="I39" i="273"/>
  <c r="H39" i="273"/>
  <c r="G39" i="273"/>
  <c r="F39" i="273"/>
  <c r="E39" i="273"/>
  <c r="S38" i="273"/>
  <c r="R38" i="273"/>
  <c r="Q38" i="273"/>
  <c r="P38" i="273"/>
  <c r="O38" i="273"/>
  <c r="I38" i="273"/>
  <c r="H38" i="273"/>
  <c r="G38" i="273"/>
  <c r="F38" i="273"/>
  <c r="E38" i="273"/>
  <c r="S37" i="273"/>
  <c r="R37" i="273"/>
  <c r="Q37" i="273"/>
  <c r="P37" i="273"/>
  <c r="O37" i="273"/>
  <c r="I37" i="273"/>
  <c r="H37" i="273"/>
  <c r="G37" i="273"/>
  <c r="F37" i="273"/>
  <c r="E37" i="273"/>
  <c r="S36" i="273"/>
  <c r="R36" i="273"/>
  <c r="Q36" i="273"/>
  <c r="P36" i="273"/>
  <c r="O36" i="273"/>
  <c r="I36" i="273"/>
  <c r="H36" i="273"/>
  <c r="G36" i="273"/>
  <c r="F36" i="273"/>
  <c r="E36" i="273"/>
  <c r="S35" i="273"/>
  <c r="R35" i="273"/>
  <c r="Q35" i="273"/>
  <c r="P35" i="273"/>
  <c r="O35" i="273"/>
  <c r="I35" i="273"/>
  <c r="H35" i="273"/>
  <c r="G35" i="273"/>
  <c r="F35" i="273"/>
  <c r="E35" i="273"/>
  <c r="S34" i="273"/>
  <c r="R34" i="273"/>
  <c r="Q34" i="273"/>
  <c r="P34" i="273"/>
  <c r="O34" i="273"/>
  <c r="I34" i="273"/>
  <c r="H34" i="273"/>
  <c r="G34" i="273"/>
  <c r="F34" i="273"/>
  <c r="E34" i="273"/>
  <c r="S33" i="273"/>
  <c r="R33" i="273"/>
  <c r="Q33" i="273"/>
  <c r="P33" i="273"/>
  <c r="O33" i="273"/>
  <c r="I33" i="273"/>
  <c r="H33" i="273"/>
  <c r="G33" i="273"/>
  <c r="F33" i="273"/>
  <c r="E33" i="273"/>
  <c r="S32" i="273"/>
  <c r="R32" i="273"/>
  <c r="Q32" i="273"/>
  <c r="P32" i="273"/>
  <c r="O32" i="273"/>
  <c r="I32" i="273"/>
  <c r="H32" i="273"/>
  <c r="G32" i="273"/>
  <c r="F32" i="273"/>
  <c r="E32" i="273"/>
  <c r="S31" i="273"/>
  <c r="R31" i="273"/>
  <c r="Q31" i="273"/>
  <c r="P31" i="273"/>
  <c r="O31" i="273"/>
  <c r="I31" i="273"/>
  <c r="H31" i="273"/>
  <c r="G31" i="273"/>
  <c r="F31" i="273"/>
  <c r="E31" i="273"/>
  <c r="S30" i="273"/>
  <c r="R30" i="273"/>
  <c r="Q30" i="273"/>
  <c r="P30" i="273"/>
  <c r="O30" i="273"/>
  <c r="I30" i="273"/>
  <c r="H30" i="273"/>
  <c r="G30" i="273"/>
  <c r="F30" i="273"/>
  <c r="E30" i="273"/>
  <c r="S29" i="273"/>
  <c r="R29" i="273"/>
  <c r="Q29" i="273"/>
  <c r="P29" i="273"/>
  <c r="O29" i="273"/>
  <c r="I29" i="273"/>
  <c r="H29" i="273"/>
  <c r="G29" i="273"/>
  <c r="F29" i="273"/>
  <c r="E29" i="273"/>
  <c r="S23" i="273"/>
  <c r="S24" i="273"/>
  <c r="R23" i="273"/>
  <c r="R24" i="273"/>
  <c r="Q23" i="273"/>
  <c r="Q24" i="273"/>
  <c r="P23" i="273"/>
  <c r="P24" i="273"/>
  <c r="O23" i="273"/>
  <c r="O24" i="273"/>
  <c r="S21" i="273"/>
  <c r="S22" i="273"/>
  <c r="R21" i="273"/>
  <c r="R22" i="273"/>
  <c r="Q21" i="273"/>
  <c r="Q22" i="273"/>
  <c r="P21" i="273"/>
  <c r="P22" i="273"/>
  <c r="O21" i="273"/>
  <c r="O22" i="273"/>
  <c r="I21" i="273"/>
  <c r="I22" i="273"/>
  <c r="H21" i="273"/>
  <c r="H22" i="273"/>
  <c r="G21" i="273"/>
  <c r="G22" i="273"/>
  <c r="F21" i="273"/>
  <c r="F22" i="273"/>
  <c r="E21" i="273"/>
  <c r="E22" i="273"/>
  <c r="S19" i="273"/>
  <c r="S20" i="273"/>
  <c r="R19" i="273"/>
  <c r="R20" i="273"/>
  <c r="Q19" i="273"/>
  <c r="Q20" i="273"/>
  <c r="P19" i="273"/>
  <c r="P20" i="273"/>
  <c r="O19" i="273"/>
  <c r="O20" i="273"/>
  <c r="I19" i="273"/>
  <c r="I20" i="273"/>
  <c r="H19" i="273"/>
  <c r="H20" i="273"/>
  <c r="G19" i="273"/>
  <c r="G20" i="273"/>
  <c r="F19" i="273"/>
  <c r="F20" i="273"/>
  <c r="E19" i="273"/>
  <c r="E20" i="273"/>
  <c r="S17" i="273"/>
  <c r="S18" i="273"/>
  <c r="R17" i="273"/>
  <c r="R18" i="273"/>
  <c r="Q17" i="273"/>
  <c r="Q18" i="273"/>
  <c r="P17" i="273"/>
  <c r="P18" i="273"/>
  <c r="O17" i="273"/>
  <c r="O18" i="273"/>
  <c r="I17" i="273"/>
  <c r="I18" i="273"/>
  <c r="H17" i="273"/>
  <c r="H18" i="273"/>
  <c r="G17" i="273"/>
  <c r="G18" i="273"/>
  <c r="F17" i="273"/>
  <c r="F18" i="273"/>
  <c r="E17" i="273"/>
  <c r="E18" i="273"/>
  <c r="S15" i="273"/>
  <c r="S16" i="273"/>
  <c r="R15" i="273"/>
  <c r="R16" i="273"/>
  <c r="Q15" i="273"/>
  <c r="Q16" i="273"/>
  <c r="P15" i="273"/>
  <c r="P16" i="273"/>
  <c r="O15" i="273"/>
  <c r="O16" i="273"/>
  <c r="I15" i="273"/>
  <c r="I16" i="273"/>
  <c r="H15" i="273"/>
  <c r="H16" i="273"/>
  <c r="G15" i="273"/>
  <c r="G16" i="273"/>
  <c r="F15" i="273"/>
  <c r="F16" i="273"/>
  <c r="E15" i="273"/>
  <c r="E16" i="273"/>
  <c r="S13" i="273"/>
  <c r="S14" i="273"/>
  <c r="R13" i="273"/>
  <c r="R14" i="273"/>
  <c r="Q13" i="273"/>
  <c r="Q14" i="273"/>
  <c r="P13" i="273"/>
  <c r="P14" i="273"/>
  <c r="O13" i="273"/>
  <c r="O14" i="273"/>
  <c r="I13" i="273"/>
  <c r="I14" i="273"/>
  <c r="H13" i="273"/>
  <c r="H14" i="273"/>
  <c r="G13" i="273"/>
  <c r="G14" i="273"/>
  <c r="F13" i="273"/>
  <c r="F14" i="273"/>
  <c r="E13" i="273"/>
  <c r="E14" i="273"/>
  <c r="S11" i="273"/>
  <c r="S12" i="273"/>
  <c r="R11" i="273"/>
  <c r="R12" i="273"/>
  <c r="Q11" i="273"/>
  <c r="Q12" i="273"/>
  <c r="P11" i="273"/>
  <c r="P12" i="273"/>
  <c r="O11" i="273"/>
  <c r="O12" i="273"/>
  <c r="I11" i="273"/>
  <c r="I12" i="273"/>
  <c r="H11" i="273"/>
  <c r="H12" i="273"/>
  <c r="G11" i="273"/>
  <c r="G12" i="273"/>
  <c r="F11" i="273"/>
  <c r="F12" i="273"/>
  <c r="E11" i="273"/>
  <c r="E12" i="273"/>
  <c r="S9" i="273"/>
  <c r="S10" i="273"/>
  <c r="R9" i="273"/>
  <c r="R10" i="273"/>
  <c r="Q9" i="273"/>
  <c r="Q10" i="273"/>
  <c r="P9" i="273"/>
  <c r="P10" i="273"/>
  <c r="O9" i="273"/>
  <c r="O10" i="273"/>
  <c r="I9" i="273"/>
  <c r="I10" i="273"/>
  <c r="H9" i="273"/>
  <c r="H10" i="273"/>
  <c r="G9" i="273"/>
  <c r="G10" i="273"/>
  <c r="F9" i="273"/>
  <c r="F10" i="273"/>
  <c r="E9" i="273"/>
  <c r="E10" i="273"/>
  <c r="S7" i="273"/>
  <c r="S8" i="273"/>
  <c r="R7" i="273"/>
  <c r="R8" i="273"/>
  <c r="Q7" i="273"/>
  <c r="Q8" i="273"/>
  <c r="P7" i="273"/>
  <c r="P8" i="273"/>
  <c r="O7" i="273"/>
  <c r="O8" i="273"/>
  <c r="I7" i="273"/>
  <c r="I8" i="273"/>
  <c r="H7" i="273"/>
  <c r="H8" i="273"/>
  <c r="G7" i="273"/>
  <c r="G8" i="273"/>
  <c r="F7" i="273"/>
  <c r="F8" i="273"/>
  <c r="E7" i="273"/>
  <c r="E8" i="273"/>
  <c r="F48" i="272"/>
  <c r="F46" i="272"/>
  <c r="F45" i="272"/>
  <c r="F44" i="272"/>
  <c r="Q42" i="272"/>
  <c r="J42" i="272"/>
  <c r="I42" i="272"/>
  <c r="H42" i="272"/>
  <c r="G42" i="272"/>
  <c r="F42" i="272"/>
  <c r="Q41" i="272"/>
  <c r="J41" i="272"/>
  <c r="I41" i="272"/>
  <c r="H41" i="272"/>
  <c r="G41" i="272"/>
  <c r="F41" i="272"/>
  <c r="Q40" i="272"/>
  <c r="J40" i="272"/>
  <c r="I40" i="272"/>
  <c r="H40" i="272"/>
  <c r="G40" i="272"/>
  <c r="F40" i="272"/>
  <c r="Q39" i="272"/>
  <c r="J39" i="272"/>
  <c r="I39" i="272"/>
  <c r="H39" i="272"/>
  <c r="G39" i="272"/>
  <c r="F39" i="272"/>
  <c r="Q38" i="272"/>
  <c r="J38" i="272"/>
  <c r="I38" i="272"/>
  <c r="H38" i="272"/>
  <c r="G38" i="272"/>
  <c r="F38" i="272"/>
  <c r="U37" i="272"/>
  <c r="T37" i="272"/>
  <c r="S37" i="272"/>
  <c r="R37" i="272"/>
  <c r="Q37" i="272"/>
  <c r="J37" i="272"/>
  <c r="I37" i="272"/>
  <c r="H37" i="272"/>
  <c r="G37" i="272"/>
  <c r="F37" i="272"/>
  <c r="U36" i="272"/>
  <c r="T36" i="272"/>
  <c r="S36" i="272"/>
  <c r="R36" i="272"/>
  <c r="Q36" i="272"/>
  <c r="J35" i="272"/>
  <c r="I35" i="272"/>
  <c r="H35" i="272"/>
  <c r="G35" i="272"/>
  <c r="F35" i="272"/>
  <c r="U34" i="272"/>
  <c r="T34" i="272"/>
  <c r="S34" i="272"/>
  <c r="R34" i="272"/>
  <c r="Q34" i="272"/>
  <c r="J34" i="272"/>
  <c r="I34" i="272"/>
  <c r="H34" i="272"/>
  <c r="G34" i="272"/>
  <c r="F34" i="272"/>
  <c r="U33" i="272"/>
  <c r="T33" i="272"/>
  <c r="S33" i="272"/>
  <c r="R33" i="272"/>
  <c r="Q33" i="272"/>
  <c r="J33" i="272"/>
  <c r="I33" i="272"/>
  <c r="H33" i="272"/>
  <c r="G33" i="272"/>
  <c r="F33" i="272"/>
  <c r="J27" i="272"/>
  <c r="J28" i="272"/>
  <c r="I27" i="272"/>
  <c r="I28" i="272"/>
  <c r="H27" i="272"/>
  <c r="H28" i="272"/>
  <c r="G27" i="272"/>
  <c r="G28" i="272"/>
  <c r="F27" i="272"/>
  <c r="F28" i="272"/>
  <c r="J25" i="272"/>
  <c r="J26" i="272"/>
  <c r="I25" i="272"/>
  <c r="I26" i="272"/>
  <c r="H25" i="272"/>
  <c r="H26" i="272"/>
  <c r="G25" i="272"/>
  <c r="G26" i="272"/>
  <c r="F25" i="272"/>
  <c r="F26" i="272"/>
  <c r="U23" i="272"/>
  <c r="U25" i="272"/>
  <c r="T23" i="272"/>
  <c r="T25" i="272"/>
  <c r="S23" i="272"/>
  <c r="S25" i="272"/>
  <c r="R23" i="272"/>
  <c r="R25" i="272"/>
  <c r="Q23" i="272"/>
  <c r="Q25" i="272"/>
  <c r="J23" i="272"/>
  <c r="J24" i="272"/>
  <c r="I23" i="272"/>
  <c r="I24" i="272"/>
  <c r="H23" i="272"/>
  <c r="H24" i="272"/>
  <c r="G23" i="272"/>
  <c r="G24" i="272"/>
  <c r="F23" i="272"/>
  <c r="F24" i="272"/>
  <c r="J21" i="272"/>
  <c r="J22" i="272"/>
  <c r="I21" i="272"/>
  <c r="I22" i="272"/>
  <c r="H21" i="272"/>
  <c r="H22" i="272"/>
  <c r="G21" i="272"/>
  <c r="G22" i="272"/>
  <c r="F21" i="272"/>
  <c r="F22" i="272"/>
  <c r="U19" i="272"/>
  <c r="U21" i="272"/>
  <c r="T19" i="272"/>
  <c r="T21" i="272"/>
  <c r="S19" i="272"/>
  <c r="S21" i="272"/>
  <c r="R19" i="272"/>
  <c r="R21" i="272"/>
  <c r="Q19" i="272"/>
  <c r="Q21" i="272"/>
  <c r="J19" i="272"/>
  <c r="J20" i="272"/>
  <c r="I19" i="272"/>
  <c r="I20" i="272"/>
  <c r="H19" i="272"/>
  <c r="H20" i="272"/>
  <c r="G19" i="272"/>
  <c r="G20" i="272"/>
  <c r="F19" i="272"/>
  <c r="F20" i="272"/>
  <c r="J17" i="272"/>
  <c r="J18" i="272"/>
  <c r="I17" i="272"/>
  <c r="I18" i="272"/>
  <c r="H17" i="272"/>
  <c r="H18" i="272"/>
  <c r="G17" i="272"/>
  <c r="G18" i="272"/>
  <c r="F17" i="272"/>
  <c r="F18" i="272"/>
  <c r="J15" i="272"/>
  <c r="J16" i="272"/>
  <c r="I15" i="272"/>
  <c r="I16" i="272"/>
  <c r="H15" i="272"/>
  <c r="H16" i="272"/>
  <c r="G15" i="272"/>
  <c r="G16" i="272"/>
  <c r="F15" i="272"/>
  <c r="F16" i="272"/>
  <c r="U14" i="272"/>
  <c r="U18" i="272"/>
  <c r="T14" i="272"/>
  <c r="T18" i="272"/>
  <c r="S14" i="272"/>
  <c r="S18" i="272"/>
  <c r="R14" i="272"/>
  <c r="R18" i="272"/>
  <c r="Q14" i="272"/>
  <c r="Q18" i="272"/>
  <c r="J13" i="272"/>
  <c r="J14" i="272"/>
  <c r="I13" i="272"/>
  <c r="I14" i="272"/>
  <c r="H13" i="272"/>
  <c r="H14" i="272"/>
  <c r="G13" i="272"/>
  <c r="G14" i="272"/>
  <c r="F13" i="272"/>
  <c r="F14" i="272"/>
  <c r="U12" i="272"/>
  <c r="U13" i="272"/>
  <c r="T12" i="272"/>
  <c r="T13" i="272"/>
  <c r="S12" i="272"/>
  <c r="S13" i="272"/>
  <c r="R12" i="272"/>
  <c r="R13" i="272"/>
  <c r="Q12" i="272"/>
  <c r="Q13" i="272"/>
  <c r="J11" i="272"/>
  <c r="J12" i="272"/>
  <c r="I11" i="272"/>
  <c r="I12" i="272"/>
  <c r="H11" i="272"/>
  <c r="H12" i="272"/>
  <c r="G11" i="272"/>
  <c r="G12" i="272"/>
  <c r="F11" i="272"/>
  <c r="F12" i="272"/>
  <c r="U9" i="272"/>
  <c r="U11" i="272"/>
  <c r="T9" i="272"/>
  <c r="T11" i="272"/>
  <c r="S9" i="272"/>
  <c r="S11" i="272"/>
  <c r="R9" i="272"/>
  <c r="R11" i="272"/>
  <c r="Q9" i="272"/>
  <c r="Q11" i="272"/>
  <c r="J9" i="272"/>
  <c r="J10" i="272"/>
  <c r="I9" i="272"/>
  <c r="I10" i="272"/>
  <c r="H9" i="272"/>
  <c r="H10" i="272"/>
  <c r="G9" i="272"/>
  <c r="G10" i="272"/>
  <c r="F9" i="272"/>
  <c r="F10" i="272"/>
  <c r="U7" i="272"/>
  <c r="U8" i="272"/>
  <c r="T7" i="272"/>
  <c r="T8" i="272"/>
  <c r="S7" i="272"/>
  <c r="S8" i="272"/>
  <c r="R7" i="272"/>
  <c r="R8" i="272"/>
  <c r="Q7" i="272"/>
  <c r="Q8" i="272"/>
  <c r="J7" i="272"/>
  <c r="J8" i="272"/>
  <c r="I7" i="272"/>
  <c r="I8" i="272"/>
  <c r="H7" i="272"/>
  <c r="H8" i="272"/>
  <c r="G7" i="272"/>
  <c r="G8" i="272"/>
  <c r="F7" i="272"/>
  <c r="F8" i="272"/>
  <c r="E52" i="271"/>
  <c r="E51" i="271"/>
  <c r="E50" i="271"/>
  <c r="K49" i="271"/>
  <c r="K48" i="271"/>
  <c r="K43" i="271"/>
  <c r="E43" i="271"/>
  <c r="K42" i="271"/>
  <c r="K41" i="271"/>
  <c r="E41" i="271"/>
  <c r="E40" i="271"/>
  <c r="E39" i="271"/>
  <c r="E38" i="271"/>
  <c r="E37" i="271"/>
  <c r="E36" i="271"/>
  <c r="E35" i="271"/>
  <c r="K34" i="271"/>
  <c r="E34" i="271"/>
  <c r="E30" i="271"/>
  <c r="E47" i="271"/>
  <c r="K27" i="271"/>
  <c r="E27" i="271"/>
  <c r="E44" i="271"/>
  <c r="K26" i="271"/>
  <c r="E25" i="271"/>
  <c r="E24" i="271"/>
  <c r="K23" i="271"/>
  <c r="E23" i="271"/>
  <c r="E22" i="271"/>
  <c r="E20" i="271"/>
  <c r="K19" i="271"/>
  <c r="E19" i="271"/>
  <c r="K18" i="271"/>
  <c r="E17" i="271"/>
  <c r="K39" i="271"/>
  <c r="K16" i="271"/>
  <c r="E16" i="271"/>
  <c r="E54" i="271"/>
  <c r="E15" i="271"/>
  <c r="E31" i="271"/>
  <c r="E14" i="271"/>
  <c r="E46" i="271"/>
  <c r="K13" i="271"/>
  <c r="E13" i="271"/>
  <c r="E42" i="271"/>
  <c r="E12" i="271"/>
  <c r="K36" i="271"/>
  <c r="E11" i="271"/>
  <c r="K35" i="271"/>
  <c r="E10" i="271"/>
  <c r="K9" i="271"/>
  <c r="E9" i="271"/>
  <c r="K8" i="271"/>
  <c r="E8" i="271"/>
  <c r="W52" i="270"/>
  <c r="I51" i="270"/>
  <c r="I52" i="270"/>
  <c r="W50" i="270"/>
  <c r="I49" i="270"/>
  <c r="I50" i="270"/>
  <c r="W48" i="270"/>
  <c r="I47" i="270"/>
  <c r="I48" i="270"/>
  <c r="W45" i="270"/>
  <c r="I45" i="270"/>
  <c r="I46" i="270"/>
  <c r="W43" i="270"/>
  <c r="I43" i="270"/>
  <c r="I44" i="270"/>
  <c r="W41" i="270"/>
  <c r="I41" i="270"/>
  <c r="I42" i="270"/>
  <c r="W34" i="270"/>
  <c r="I34" i="270"/>
  <c r="W33" i="270"/>
  <c r="I33" i="270"/>
  <c r="W32" i="270"/>
  <c r="I32" i="270"/>
  <c r="AA25" i="270"/>
  <c r="AA27" i="270"/>
  <c r="Z25" i="270"/>
  <c r="Z27" i="270"/>
  <c r="Y25" i="270"/>
  <c r="Y27" i="270"/>
  <c r="X25" i="270"/>
  <c r="X27" i="270"/>
  <c r="W25" i="270"/>
  <c r="W27" i="270"/>
  <c r="M25" i="270"/>
  <c r="M27" i="270"/>
  <c r="L25" i="270"/>
  <c r="L27" i="270"/>
  <c r="K25" i="270"/>
  <c r="K27" i="270"/>
  <c r="J25" i="270"/>
  <c r="J27" i="270"/>
  <c r="I25" i="270"/>
  <c r="I27" i="270"/>
  <c r="AA22" i="270"/>
  <c r="AA24" i="270"/>
  <c r="Z22" i="270"/>
  <c r="Z24" i="270"/>
  <c r="Y22" i="270"/>
  <c r="Y24" i="270"/>
  <c r="X22" i="270"/>
  <c r="X24" i="270"/>
  <c r="W22" i="270"/>
  <c r="W24" i="270"/>
  <c r="M22" i="270"/>
  <c r="M24" i="270"/>
  <c r="L22" i="270"/>
  <c r="L24" i="270"/>
  <c r="K22" i="270"/>
  <c r="K24" i="270"/>
  <c r="J22" i="270"/>
  <c r="J24" i="270"/>
  <c r="I22" i="270"/>
  <c r="I24" i="270"/>
  <c r="AA19" i="270"/>
  <c r="AA21" i="270"/>
  <c r="Z19" i="270"/>
  <c r="Z21" i="270"/>
  <c r="Y19" i="270"/>
  <c r="Y21" i="270"/>
  <c r="X19" i="270"/>
  <c r="X21" i="270"/>
  <c r="W19" i="270"/>
  <c r="W21" i="270"/>
  <c r="M19" i="270"/>
  <c r="M21" i="270"/>
  <c r="L19" i="270"/>
  <c r="L21" i="270"/>
  <c r="K19" i="270"/>
  <c r="K21" i="270"/>
  <c r="J19" i="270"/>
  <c r="J21" i="270"/>
  <c r="I19" i="270"/>
  <c r="I21" i="270"/>
  <c r="AA16" i="270"/>
  <c r="AA18" i="270"/>
  <c r="Z16" i="270"/>
  <c r="Z18" i="270"/>
  <c r="Y16" i="270"/>
  <c r="Y18" i="270"/>
  <c r="X16" i="270"/>
  <c r="X18" i="270"/>
  <c r="W16" i="270"/>
  <c r="W18" i="270"/>
  <c r="M16" i="270"/>
  <c r="M18" i="270"/>
  <c r="L16" i="270"/>
  <c r="L18" i="270"/>
  <c r="K16" i="270"/>
  <c r="K18" i="270"/>
  <c r="J16" i="270"/>
  <c r="J18" i="270"/>
  <c r="I16" i="270"/>
  <c r="I18" i="270"/>
  <c r="AA13" i="270"/>
  <c r="AA15" i="270"/>
  <c r="Z13" i="270"/>
  <c r="Z15" i="270"/>
  <c r="Y13" i="270"/>
  <c r="Y15" i="270"/>
  <c r="X13" i="270"/>
  <c r="X15" i="270"/>
  <c r="W13" i="270"/>
  <c r="W15" i="270"/>
  <c r="M13" i="270"/>
  <c r="M15" i="270"/>
  <c r="L13" i="270"/>
  <c r="L15" i="270"/>
  <c r="K13" i="270"/>
  <c r="K15" i="270"/>
  <c r="J13" i="270"/>
  <c r="J15" i="270"/>
  <c r="I13" i="270"/>
  <c r="I15" i="270"/>
  <c r="AA10" i="270"/>
  <c r="AA12" i="270"/>
  <c r="Z10" i="270"/>
  <c r="Z12" i="270"/>
  <c r="Y10" i="270"/>
  <c r="Y12" i="270"/>
  <c r="X10" i="270"/>
  <c r="X12" i="270"/>
  <c r="W10" i="270"/>
  <c r="W12" i="270"/>
  <c r="M10" i="270"/>
  <c r="M12" i="270"/>
  <c r="L10" i="270"/>
  <c r="L12" i="270"/>
  <c r="K10" i="270"/>
  <c r="K12" i="270"/>
  <c r="J10" i="270"/>
  <c r="J12" i="270"/>
  <c r="I10" i="270"/>
  <c r="I12" i="270"/>
  <c r="AA7" i="270"/>
  <c r="AA9" i="270"/>
  <c r="Z7" i="270"/>
  <c r="Z9" i="270"/>
  <c r="Y7" i="270"/>
  <c r="Y9" i="270"/>
  <c r="X7" i="270"/>
  <c r="X9" i="270"/>
  <c r="W7" i="270"/>
  <c r="W9" i="270"/>
  <c r="M7" i="270"/>
  <c r="M9" i="270"/>
  <c r="L7" i="270"/>
  <c r="L9" i="270"/>
  <c r="K7" i="270"/>
  <c r="K9" i="270"/>
  <c r="J7" i="270"/>
  <c r="J9" i="270"/>
  <c r="I7" i="270"/>
  <c r="I9" i="270"/>
  <c r="D85" i="136"/>
  <c r="AH59" i="167"/>
  <c r="D35" i="238"/>
  <c r="N29" i="266"/>
  <c r="O29" i="266"/>
  <c r="L46" i="269"/>
  <c r="L45" i="269"/>
  <c r="F41" i="269"/>
  <c r="E41" i="269"/>
  <c r="F39" i="269"/>
  <c r="E39" i="269"/>
  <c r="F38" i="269"/>
  <c r="E38" i="269"/>
  <c r="F27" i="269"/>
  <c r="F26" i="269"/>
  <c r="M25" i="269"/>
  <c r="F22" i="269"/>
  <c r="M19" i="269"/>
  <c r="F19" i="269"/>
  <c r="M11" i="269"/>
  <c r="F11" i="269"/>
  <c r="E11" i="269"/>
  <c r="M10" i="269"/>
  <c r="F10" i="269"/>
  <c r="E10" i="269"/>
  <c r="M9" i="269"/>
  <c r="F9" i="269"/>
  <c r="E9" i="269"/>
  <c r="M8" i="269"/>
  <c r="F8" i="269"/>
  <c r="E8" i="269"/>
  <c r="M7" i="269"/>
  <c r="F7" i="269"/>
  <c r="E7" i="269"/>
  <c r="P12" i="222"/>
  <c r="K8" i="245"/>
  <c r="O48" i="266"/>
  <c r="N48" i="266"/>
  <c r="M48" i="266"/>
  <c r="L48" i="266"/>
  <c r="K48" i="266"/>
  <c r="J48" i="266"/>
  <c r="I48" i="266"/>
  <c r="H48" i="266"/>
  <c r="G48" i="266"/>
  <c r="F48" i="266"/>
  <c r="E48" i="266"/>
  <c r="O47" i="266"/>
  <c r="N47" i="266"/>
  <c r="M47" i="266"/>
  <c r="L47" i="266"/>
  <c r="K47" i="266"/>
  <c r="J47" i="266"/>
  <c r="I47" i="266"/>
  <c r="H47" i="266"/>
  <c r="G47" i="266"/>
  <c r="F47" i="266"/>
  <c r="E47" i="266"/>
  <c r="O46" i="266"/>
  <c r="N46" i="266"/>
  <c r="M46" i="266"/>
  <c r="L46" i="266"/>
  <c r="K46" i="266"/>
  <c r="J46" i="266"/>
  <c r="I46" i="266"/>
  <c r="H46" i="266"/>
  <c r="G46" i="266"/>
  <c r="F46" i="266"/>
  <c r="E46" i="266"/>
  <c r="O45" i="266"/>
  <c r="N45" i="266"/>
  <c r="M45" i="266"/>
  <c r="L45" i="266"/>
  <c r="K45" i="266"/>
  <c r="J45" i="266"/>
  <c r="I45" i="266"/>
  <c r="H45" i="266"/>
  <c r="G45" i="266"/>
  <c r="F45" i="266"/>
  <c r="E45" i="266"/>
  <c r="O44" i="266"/>
  <c r="N44" i="266"/>
  <c r="M44" i="266"/>
  <c r="L44" i="266"/>
  <c r="K44" i="266"/>
  <c r="J44" i="266"/>
  <c r="I44" i="266"/>
  <c r="H44" i="266"/>
  <c r="G44" i="266"/>
  <c r="F44" i="266"/>
  <c r="E44" i="266"/>
  <c r="Y42" i="266"/>
  <c r="O42" i="266"/>
  <c r="N42" i="266"/>
  <c r="M42" i="266"/>
  <c r="L42" i="266"/>
  <c r="K42" i="266"/>
  <c r="J42" i="266"/>
  <c r="I42" i="266"/>
  <c r="H42" i="266"/>
  <c r="G42" i="266"/>
  <c r="F42" i="266"/>
  <c r="E42" i="266"/>
  <c r="Y40" i="266"/>
  <c r="Y39" i="266"/>
  <c r="Y38" i="266"/>
  <c r="Z38" i="266"/>
  <c r="Y37" i="266"/>
  <c r="Z37" i="266"/>
  <c r="Y36" i="266"/>
  <c r="Z36" i="266"/>
  <c r="Y35" i="266"/>
  <c r="Y34" i="266"/>
  <c r="Z34" i="266"/>
  <c r="N34" i="266"/>
  <c r="L34" i="266"/>
  <c r="K34" i="266"/>
  <c r="G34" i="266"/>
  <c r="Y33" i="266"/>
  <c r="Z33" i="266"/>
  <c r="N33" i="266"/>
  <c r="L33" i="266"/>
  <c r="K33" i="266"/>
  <c r="G33" i="266"/>
  <c r="Y31" i="266"/>
  <c r="Y29" i="266"/>
  <c r="Y28" i="266"/>
  <c r="Y27" i="266"/>
  <c r="N27" i="266"/>
  <c r="O27" i="266"/>
  <c r="Y26" i="266"/>
  <c r="N25" i="266"/>
  <c r="O25" i="266"/>
  <c r="Y23" i="266"/>
  <c r="N23" i="266"/>
  <c r="O23" i="266"/>
  <c r="Y22" i="266"/>
  <c r="Y21" i="266"/>
  <c r="N21" i="266"/>
  <c r="O21" i="266"/>
  <c r="Y20" i="266"/>
  <c r="N19" i="266"/>
  <c r="O19" i="266"/>
  <c r="Z18" i="266"/>
  <c r="Y18" i="266"/>
  <c r="Y17" i="266"/>
  <c r="Z17" i="266"/>
  <c r="N17" i="266"/>
  <c r="O17" i="266"/>
  <c r="Y16" i="266"/>
  <c r="Z16" i="266"/>
  <c r="N16" i="266"/>
  <c r="O16" i="266"/>
  <c r="Y15" i="266"/>
  <c r="Z15" i="266"/>
  <c r="Y14" i="266"/>
  <c r="Z14" i="266"/>
  <c r="N14" i="266"/>
  <c r="O14" i="266"/>
  <c r="N13" i="266"/>
  <c r="O13" i="266"/>
  <c r="Y12" i="266"/>
  <c r="Z12" i="266"/>
  <c r="N12" i="266"/>
  <c r="O12" i="266"/>
  <c r="N11" i="266"/>
  <c r="O11" i="266"/>
  <c r="Y10" i="266"/>
  <c r="Z10" i="266"/>
  <c r="N10" i="266"/>
  <c r="O10" i="266"/>
  <c r="Y8" i="266"/>
  <c r="Z8" i="266"/>
  <c r="Y7" i="266"/>
  <c r="Z7" i="266"/>
  <c r="N7" i="266"/>
  <c r="O7" i="266"/>
  <c r="F30" i="265"/>
  <c r="F29" i="265"/>
  <c r="F28" i="265"/>
  <c r="F27" i="265"/>
  <c r="F26" i="265"/>
  <c r="O25" i="265"/>
  <c r="N25" i="265"/>
  <c r="F25" i="265"/>
  <c r="O24" i="265"/>
  <c r="N24" i="265"/>
  <c r="F24" i="265"/>
  <c r="F23" i="265"/>
  <c r="O22" i="265"/>
  <c r="N22" i="265"/>
  <c r="F22" i="265"/>
  <c r="O21" i="265"/>
  <c r="N21" i="265"/>
  <c r="F21" i="265"/>
  <c r="O20" i="265"/>
  <c r="N20" i="265"/>
  <c r="F20" i="265"/>
  <c r="O19" i="265"/>
  <c r="N19" i="265"/>
  <c r="F19" i="265"/>
  <c r="F18" i="265"/>
  <c r="F17" i="265"/>
  <c r="O16" i="265"/>
  <c r="N16" i="265"/>
  <c r="F16" i="265"/>
  <c r="F15" i="265"/>
  <c r="O14" i="265"/>
  <c r="N14" i="265"/>
  <c r="F14" i="265"/>
  <c r="N13" i="265"/>
  <c r="G13" i="265"/>
  <c r="F13" i="265"/>
  <c r="N12" i="265"/>
  <c r="G12" i="265"/>
  <c r="F12" i="265"/>
  <c r="N11" i="265"/>
  <c r="G11" i="265"/>
  <c r="F11" i="265"/>
  <c r="N10" i="265"/>
  <c r="G10" i="265"/>
  <c r="F10" i="265"/>
  <c r="N9" i="265"/>
  <c r="G9" i="265"/>
  <c r="F9" i="265"/>
  <c r="N8" i="265"/>
  <c r="G8" i="265"/>
  <c r="F8" i="265"/>
  <c r="G7" i="265"/>
  <c r="F7" i="265"/>
  <c r="N6" i="265"/>
  <c r="F6" i="265"/>
  <c r="G42" i="264"/>
  <c r="G40" i="264"/>
  <c r="M38" i="264"/>
  <c r="G38" i="264"/>
  <c r="M37" i="264"/>
  <c r="G37" i="264"/>
  <c r="G36" i="264"/>
  <c r="G35" i="264"/>
  <c r="G33" i="264"/>
  <c r="G32" i="264"/>
  <c r="G31" i="264"/>
  <c r="G28" i="264"/>
  <c r="N26" i="264"/>
  <c r="G26" i="264"/>
  <c r="N25" i="264"/>
  <c r="G25" i="264"/>
  <c r="N24" i="264"/>
  <c r="G24" i="264"/>
  <c r="G23" i="264"/>
  <c r="N22" i="264"/>
  <c r="G22" i="264"/>
  <c r="G21" i="264"/>
  <c r="N20" i="264"/>
  <c r="G19" i="264"/>
  <c r="N18" i="264"/>
  <c r="N16" i="264"/>
  <c r="G16" i="264"/>
  <c r="G15" i="264"/>
  <c r="N13" i="264"/>
  <c r="G12" i="264"/>
  <c r="N11" i="264"/>
  <c r="G10" i="264"/>
  <c r="N9" i="264"/>
  <c r="G9" i="264"/>
  <c r="N8" i="264"/>
  <c r="G8" i="264"/>
  <c r="W12" i="136"/>
  <c r="U22" i="134"/>
  <c r="W25" i="167"/>
  <c r="W13" i="132"/>
  <c r="V13" i="132"/>
  <c r="Q13" i="132"/>
  <c r="P13" i="132"/>
  <c r="N13" i="132"/>
  <c r="L13" i="132"/>
  <c r="K13" i="132"/>
  <c r="J13" i="132"/>
  <c r="I13" i="132"/>
  <c r="H13" i="132"/>
  <c r="G13" i="132"/>
  <c r="F13" i="132"/>
  <c r="E13" i="132"/>
  <c r="W13" i="167"/>
  <c r="R13" i="167"/>
  <c r="Q13" i="167"/>
  <c r="O13" i="167"/>
  <c r="M13" i="167"/>
  <c r="L13" i="167"/>
  <c r="K13" i="167"/>
  <c r="J13" i="167"/>
  <c r="I13" i="167"/>
  <c r="H13" i="167"/>
  <c r="F13" i="167"/>
  <c r="E13" i="167"/>
  <c r="E87" i="262"/>
  <c r="E86" i="262"/>
  <c r="E85" i="262"/>
  <c r="E84" i="262"/>
  <c r="E83" i="262"/>
  <c r="E82" i="262"/>
  <c r="E81" i="262"/>
  <c r="E80" i="262"/>
  <c r="E79" i="262"/>
  <c r="E78" i="262"/>
  <c r="E77" i="262"/>
  <c r="E76" i="262"/>
  <c r="E75" i="262"/>
  <c r="E74" i="262"/>
  <c r="E72" i="262"/>
  <c r="E70" i="262"/>
  <c r="E69" i="262"/>
  <c r="E68" i="262"/>
  <c r="H65" i="262"/>
  <c r="G65" i="262"/>
  <c r="F65" i="262"/>
  <c r="E65" i="262"/>
  <c r="H64" i="262"/>
  <c r="G64" i="262"/>
  <c r="F64" i="262"/>
  <c r="E64" i="262"/>
  <c r="H63" i="262"/>
  <c r="G63" i="262"/>
  <c r="F63" i="262"/>
  <c r="E63" i="262"/>
  <c r="F61" i="262"/>
  <c r="E61" i="262"/>
  <c r="F59" i="262"/>
  <c r="E59" i="262"/>
  <c r="F58" i="262"/>
  <c r="E58" i="262"/>
  <c r="F56" i="262"/>
  <c r="E56" i="262"/>
  <c r="F55" i="262"/>
  <c r="E55" i="262"/>
  <c r="F54" i="262"/>
  <c r="E54" i="262"/>
  <c r="F53" i="262"/>
  <c r="E53" i="262"/>
  <c r="F52" i="262"/>
  <c r="E52" i="262"/>
  <c r="F50" i="262"/>
  <c r="E50" i="262"/>
  <c r="F49" i="262"/>
  <c r="E49" i="262"/>
  <c r="F47" i="262"/>
  <c r="E47" i="262"/>
  <c r="F46" i="262"/>
  <c r="E46" i="262"/>
  <c r="F44" i="262"/>
  <c r="E44" i="262"/>
  <c r="F43" i="262"/>
  <c r="E43" i="262"/>
  <c r="F42" i="262"/>
  <c r="E42" i="262"/>
  <c r="F41" i="262"/>
  <c r="E41" i="262"/>
  <c r="F40" i="262"/>
  <c r="E40" i="262"/>
  <c r="F39" i="262"/>
  <c r="E39" i="262"/>
  <c r="F37" i="262"/>
  <c r="E37" i="262"/>
  <c r="F36" i="262"/>
  <c r="E36" i="262"/>
  <c r="F35" i="262"/>
  <c r="E35" i="262"/>
  <c r="F34" i="262"/>
  <c r="E34" i="262"/>
  <c r="F33" i="262"/>
  <c r="E33" i="262"/>
  <c r="F32" i="262"/>
  <c r="E32" i="262"/>
  <c r="F31" i="262"/>
  <c r="E31" i="262"/>
  <c r="E24" i="262"/>
  <c r="E23" i="262"/>
  <c r="E21" i="262"/>
  <c r="E20" i="262"/>
  <c r="E18" i="262"/>
  <c r="E17" i="262"/>
  <c r="E16" i="262"/>
  <c r="E15" i="262"/>
  <c r="E13" i="262"/>
  <c r="E12" i="262"/>
  <c r="E11" i="262"/>
  <c r="E10" i="262"/>
  <c r="E9" i="262"/>
  <c r="E8" i="262"/>
  <c r="E7" i="262"/>
  <c r="D25" i="261"/>
  <c r="D23" i="261"/>
  <c r="J20" i="261"/>
  <c r="D19" i="261"/>
  <c r="K17" i="261"/>
  <c r="K16" i="261"/>
  <c r="D16" i="261"/>
  <c r="K14" i="261"/>
  <c r="D14" i="261"/>
  <c r="K12" i="261"/>
  <c r="K11" i="261"/>
  <c r="K9" i="261"/>
  <c r="K8" i="261"/>
  <c r="D8" i="261"/>
  <c r="J14" i="245"/>
  <c r="Q17" i="132"/>
  <c r="P17" i="132"/>
  <c r="N17" i="132"/>
  <c r="L17" i="132"/>
  <c r="K17" i="132"/>
  <c r="K16" i="132"/>
  <c r="J17" i="132"/>
  <c r="H17" i="132"/>
  <c r="G17" i="132"/>
  <c r="R17" i="167"/>
  <c r="Q17" i="167"/>
  <c r="O17" i="167"/>
  <c r="M17" i="167"/>
  <c r="L17" i="167"/>
  <c r="L16" i="167"/>
  <c r="K17" i="167"/>
  <c r="J17" i="167"/>
  <c r="I17" i="167"/>
  <c r="H17" i="167"/>
  <c r="H12" i="167"/>
  <c r="P23" i="212"/>
  <c r="Q23" i="212"/>
  <c r="P10" i="212"/>
  <c r="V56" i="136"/>
  <c r="V63" i="136"/>
  <c r="R56" i="136"/>
  <c r="R63" i="136"/>
  <c r="Q56" i="136"/>
  <c r="Q63" i="136"/>
  <c r="P56" i="136"/>
  <c r="P63" i="136"/>
  <c r="O56" i="136"/>
  <c r="O63" i="136"/>
  <c r="N56" i="136"/>
  <c r="N63" i="136"/>
  <c r="M56" i="136"/>
  <c r="M63" i="136"/>
  <c r="L56" i="136"/>
  <c r="L63" i="136"/>
  <c r="K56" i="136"/>
  <c r="K63" i="136"/>
  <c r="J56" i="136"/>
  <c r="J63" i="136"/>
  <c r="I56" i="136"/>
  <c r="I63" i="136"/>
  <c r="H56" i="136"/>
  <c r="H63" i="136"/>
  <c r="F56" i="136"/>
  <c r="F63" i="136"/>
  <c r="E56" i="136"/>
  <c r="E63" i="136"/>
  <c r="J27" i="217"/>
  <c r="Y42" i="176"/>
  <c r="X42" i="176"/>
  <c r="Y41" i="176"/>
  <c r="Y40" i="176"/>
  <c r="X40" i="176"/>
  <c r="Y39" i="176"/>
  <c r="X39" i="176"/>
  <c r="Y38" i="176"/>
  <c r="X38" i="176"/>
  <c r="N47" i="176"/>
  <c r="N46" i="176"/>
  <c r="N44" i="176"/>
  <c r="N43" i="176"/>
  <c r="N42" i="176"/>
  <c r="N40" i="176"/>
  <c r="N39" i="176"/>
  <c r="N38" i="176"/>
  <c r="O38" i="176"/>
  <c r="W86" i="253"/>
  <c r="V86" i="253"/>
  <c r="U86" i="253"/>
  <c r="T86" i="253"/>
  <c r="S86" i="253"/>
  <c r="W85" i="253"/>
  <c r="V85" i="253"/>
  <c r="I85" i="253"/>
  <c r="H85" i="253"/>
  <c r="G85" i="253"/>
  <c r="V84" i="253"/>
  <c r="K84" i="253"/>
  <c r="J84" i="253"/>
  <c r="I84" i="253"/>
  <c r="H84" i="253"/>
  <c r="G84" i="253"/>
  <c r="W83" i="253"/>
  <c r="V83" i="253"/>
  <c r="U83" i="253"/>
  <c r="T83" i="253"/>
  <c r="S83" i="253"/>
  <c r="K83" i="253"/>
  <c r="J83" i="253"/>
  <c r="I83" i="253"/>
  <c r="H83" i="253"/>
  <c r="G83" i="253"/>
  <c r="W82" i="253"/>
  <c r="V82" i="253"/>
  <c r="K82" i="253"/>
  <c r="J82" i="253"/>
  <c r="I82" i="253"/>
  <c r="H82" i="253"/>
  <c r="G82" i="253"/>
  <c r="K81" i="253"/>
  <c r="J81" i="253"/>
  <c r="I81" i="253"/>
  <c r="H81" i="253"/>
  <c r="G81" i="253"/>
  <c r="W80" i="253"/>
  <c r="V80" i="253"/>
  <c r="J80" i="253"/>
  <c r="I80" i="253"/>
  <c r="H80" i="253"/>
  <c r="G80" i="253"/>
  <c r="W79" i="253"/>
  <c r="V79" i="253"/>
  <c r="U79" i="253"/>
  <c r="T79" i="253"/>
  <c r="S79" i="253"/>
  <c r="K79" i="253"/>
  <c r="J79" i="253"/>
  <c r="I79" i="253"/>
  <c r="H79" i="253"/>
  <c r="G79" i="253"/>
  <c r="U78" i="253"/>
  <c r="T78" i="253"/>
  <c r="S78" i="253"/>
  <c r="S77" i="253"/>
  <c r="W76" i="253"/>
  <c r="V76" i="253"/>
  <c r="U76" i="253"/>
  <c r="T76" i="253"/>
  <c r="S76" i="253"/>
  <c r="I76" i="253"/>
  <c r="W75" i="253"/>
  <c r="V75" i="253"/>
  <c r="I75" i="253"/>
  <c r="S74" i="253"/>
  <c r="I74" i="253"/>
  <c r="W73" i="253"/>
  <c r="V73" i="253"/>
  <c r="U73" i="253"/>
  <c r="T73" i="253"/>
  <c r="S73" i="253"/>
  <c r="I73" i="253"/>
  <c r="W72" i="253"/>
  <c r="V72" i="253"/>
  <c r="S70" i="253"/>
  <c r="V69" i="253"/>
  <c r="S69" i="253"/>
  <c r="K69" i="253"/>
  <c r="J69" i="253"/>
  <c r="I69" i="253"/>
  <c r="H69" i="253"/>
  <c r="G69" i="253"/>
  <c r="S68" i="253"/>
  <c r="K68" i="253"/>
  <c r="J68" i="253"/>
  <c r="I68" i="253"/>
  <c r="H68" i="253"/>
  <c r="G68" i="253"/>
  <c r="S67" i="253"/>
  <c r="J67" i="253"/>
  <c r="I67" i="253"/>
  <c r="H67" i="253"/>
  <c r="G67" i="253"/>
  <c r="S66" i="253"/>
  <c r="I66" i="253"/>
  <c r="H66" i="253"/>
  <c r="S65" i="253"/>
  <c r="V64" i="253"/>
  <c r="S64" i="253"/>
  <c r="S63" i="253"/>
  <c r="K62" i="253"/>
  <c r="I62" i="253"/>
  <c r="H62" i="253"/>
  <c r="G62" i="253"/>
  <c r="W61" i="253"/>
  <c r="V61" i="253"/>
  <c r="T61" i="253"/>
  <c r="S61" i="253"/>
  <c r="K61" i="253"/>
  <c r="I61" i="253"/>
  <c r="H61" i="253"/>
  <c r="G61" i="253"/>
  <c r="V60" i="253"/>
  <c r="U60" i="253"/>
  <c r="T60" i="253"/>
  <c r="S60" i="253"/>
  <c r="K60" i="253"/>
  <c r="I60" i="253"/>
  <c r="H60" i="253"/>
  <c r="G60" i="253"/>
  <c r="U59" i="253"/>
  <c r="T59" i="253"/>
  <c r="S59" i="253"/>
  <c r="I59" i="253"/>
  <c r="H59" i="253"/>
  <c r="W58" i="253"/>
  <c r="K58" i="253"/>
  <c r="V57" i="253"/>
  <c r="K57" i="253"/>
  <c r="V56" i="253"/>
  <c r="W55" i="253"/>
  <c r="V55" i="253"/>
  <c r="S55" i="253"/>
  <c r="J55" i="253"/>
  <c r="I55" i="253"/>
  <c r="H55" i="253"/>
  <c r="G55" i="253"/>
  <c r="U54" i="253"/>
  <c r="T54" i="253"/>
  <c r="S54" i="253"/>
  <c r="J54" i="253"/>
  <c r="I54" i="253"/>
  <c r="H54" i="253"/>
  <c r="G54" i="253"/>
  <c r="S53" i="253"/>
  <c r="J53" i="253"/>
  <c r="I53" i="253"/>
  <c r="H53" i="253"/>
  <c r="G53" i="253"/>
  <c r="S52" i="253"/>
  <c r="I52" i="253"/>
  <c r="H52" i="253"/>
  <c r="S51" i="253"/>
  <c r="S50" i="253"/>
  <c r="G50" i="253"/>
  <c r="S49" i="253"/>
  <c r="I48" i="253"/>
  <c r="H48" i="253"/>
  <c r="G48" i="253"/>
  <c r="W47" i="253"/>
  <c r="V47" i="253"/>
  <c r="U47" i="253"/>
  <c r="T47" i="253"/>
  <c r="S47" i="253"/>
  <c r="I47" i="253"/>
  <c r="H47" i="253"/>
  <c r="G47" i="253"/>
  <c r="W46" i="253"/>
  <c r="V46" i="253"/>
  <c r="U46" i="253"/>
  <c r="T46" i="253"/>
  <c r="S46" i="253"/>
  <c r="I46" i="253"/>
  <c r="H46" i="253"/>
  <c r="G46" i="253"/>
  <c r="W45" i="253"/>
  <c r="V45" i="253"/>
  <c r="U45" i="253"/>
  <c r="T45" i="253"/>
  <c r="S45" i="253"/>
  <c r="H45" i="253"/>
  <c r="U44" i="253"/>
  <c r="T44" i="253"/>
  <c r="T36" i="253"/>
  <c r="S36" i="253"/>
  <c r="K36" i="253"/>
  <c r="J36" i="253"/>
  <c r="I36" i="253"/>
  <c r="H36" i="253"/>
  <c r="G36" i="253"/>
  <c r="T35" i="253"/>
  <c r="S35" i="253"/>
  <c r="K35" i="253"/>
  <c r="I35" i="253"/>
  <c r="H35" i="253"/>
  <c r="G35" i="253"/>
  <c r="V34" i="253"/>
  <c r="T34" i="253"/>
  <c r="S34" i="253"/>
  <c r="K34" i="253"/>
  <c r="J34" i="253"/>
  <c r="I34" i="253"/>
  <c r="H34" i="253"/>
  <c r="G34" i="253"/>
  <c r="V33" i="253"/>
  <c r="U33" i="253"/>
  <c r="T33" i="253"/>
  <c r="S33" i="253"/>
  <c r="K33" i="253"/>
  <c r="J33" i="253"/>
  <c r="I33" i="253"/>
  <c r="H33" i="253"/>
  <c r="G33" i="253"/>
  <c r="V32" i="253"/>
  <c r="U32" i="253"/>
  <c r="T32" i="253"/>
  <c r="S32" i="253"/>
  <c r="K32" i="253"/>
  <c r="J32" i="253"/>
  <c r="I32" i="253"/>
  <c r="H32" i="253"/>
  <c r="G32" i="253"/>
  <c r="U31" i="253"/>
  <c r="T31" i="253"/>
  <c r="S31" i="253"/>
  <c r="K31" i="253"/>
  <c r="J31" i="253"/>
  <c r="I31" i="253"/>
  <c r="H31" i="253"/>
  <c r="G31" i="253"/>
  <c r="T30" i="253"/>
  <c r="S30" i="253"/>
  <c r="K30" i="253"/>
  <c r="J30" i="253"/>
  <c r="I30" i="253"/>
  <c r="H30" i="253"/>
  <c r="G30" i="253"/>
  <c r="T29" i="253"/>
  <c r="S29" i="253"/>
  <c r="K29" i="253"/>
  <c r="I29" i="253"/>
  <c r="H29" i="253"/>
  <c r="G29" i="253"/>
  <c r="V28" i="253"/>
  <c r="T28" i="253"/>
  <c r="S28" i="253"/>
  <c r="K28" i="253"/>
  <c r="J28" i="253"/>
  <c r="I28" i="253"/>
  <c r="H28" i="253"/>
  <c r="G28" i="253"/>
  <c r="V27" i="253"/>
  <c r="U27" i="253"/>
  <c r="T27" i="253"/>
  <c r="S27" i="253"/>
  <c r="K27" i="253"/>
  <c r="J27" i="253"/>
  <c r="I27" i="253"/>
  <c r="H27" i="253"/>
  <c r="G27" i="253"/>
  <c r="V26" i="253"/>
  <c r="U26" i="253"/>
  <c r="T26" i="253"/>
  <c r="S26" i="253"/>
  <c r="K26" i="253"/>
  <c r="J26" i="253"/>
  <c r="I26" i="253"/>
  <c r="H26" i="253"/>
  <c r="G26" i="253"/>
  <c r="U25" i="253"/>
  <c r="T25" i="253"/>
  <c r="S25" i="253"/>
  <c r="K25" i="253"/>
  <c r="J25" i="253"/>
  <c r="I25" i="253"/>
  <c r="H25" i="253"/>
  <c r="G25" i="253"/>
  <c r="W24" i="253"/>
  <c r="V24" i="253"/>
  <c r="U24" i="253"/>
  <c r="T24" i="253"/>
  <c r="S24" i="253"/>
  <c r="K24" i="253"/>
  <c r="J24" i="253"/>
  <c r="I24" i="253"/>
  <c r="H24" i="253"/>
  <c r="G24" i="253"/>
  <c r="W23" i="253"/>
  <c r="U23" i="253"/>
  <c r="T23" i="253"/>
  <c r="S23" i="253"/>
  <c r="K23" i="253"/>
  <c r="I23" i="253"/>
  <c r="H23" i="253"/>
  <c r="G23" i="253"/>
  <c r="W22" i="253"/>
  <c r="V22" i="253"/>
  <c r="U22" i="253"/>
  <c r="T22" i="253"/>
  <c r="S22" i="253"/>
  <c r="K22" i="253"/>
  <c r="J22" i="253"/>
  <c r="I22" i="253"/>
  <c r="H22" i="253"/>
  <c r="G22" i="253"/>
  <c r="W21" i="253"/>
  <c r="V21" i="253"/>
  <c r="U21" i="253"/>
  <c r="T21" i="253"/>
  <c r="S21" i="253"/>
  <c r="K21" i="253"/>
  <c r="J21" i="253"/>
  <c r="I21" i="253"/>
  <c r="H21" i="253"/>
  <c r="G21" i="253"/>
  <c r="W20" i="253"/>
  <c r="V20" i="253"/>
  <c r="U20" i="253"/>
  <c r="T20" i="253"/>
  <c r="S20" i="253"/>
  <c r="K20" i="253"/>
  <c r="J20" i="253"/>
  <c r="I20" i="253"/>
  <c r="H20" i="253"/>
  <c r="G20" i="253"/>
  <c r="W19" i="253"/>
  <c r="V19" i="253"/>
  <c r="U19" i="253"/>
  <c r="T19" i="253"/>
  <c r="S19" i="253"/>
  <c r="K19" i="253"/>
  <c r="J19" i="253"/>
  <c r="I19" i="253"/>
  <c r="H19" i="253"/>
  <c r="G19" i="253"/>
  <c r="W18" i="253"/>
  <c r="V18" i="253"/>
  <c r="U18" i="253"/>
  <c r="T18" i="253"/>
  <c r="S18" i="253"/>
  <c r="K18" i="253"/>
  <c r="J18" i="253"/>
  <c r="I18" i="253"/>
  <c r="H18" i="253"/>
  <c r="G18" i="253"/>
  <c r="W17" i="253"/>
  <c r="U17" i="253"/>
  <c r="T17" i="253"/>
  <c r="S17" i="253"/>
  <c r="K17" i="253"/>
  <c r="I17" i="253"/>
  <c r="H17" i="253"/>
  <c r="G17" i="253"/>
  <c r="W16" i="253"/>
  <c r="V16" i="253"/>
  <c r="U16" i="253"/>
  <c r="T16" i="253"/>
  <c r="S16" i="253"/>
  <c r="K16" i="253"/>
  <c r="J16" i="253"/>
  <c r="I16" i="253"/>
  <c r="H16" i="253"/>
  <c r="G16" i="253"/>
  <c r="W15" i="253"/>
  <c r="V15" i="253"/>
  <c r="U15" i="253"/>
  <c r="T15" i="253"/>
  <c r="S15" i="253"/>
  <c r="K15" i="253"/>
  <c r="J15" i="253"/>
  <c r="I15" i="253"/>
  <c r="H15" i="253"/>
  <c r="G15" i="253"/>
  <c r="W14" i="253"/>
  <c r="V14" i="253"/>
  <c r="U14" i="253"/>
  <c r="T14" i="253"/>
  <c r="S14" i="253"/>
  <c r="K14" i="253"/>
  <c r="J14" i="253"/>
  <c r="I14" i="253"/>
  <c r="H14" i="253"/>
  <c r="G14" i="253"/>
  <c r="W13" i="253"/>
  <c r="V13" i="253"/>
  <c r="U13" i="253"/>
  <c r="T13" i="253"/>
  <c r="S13" i="253"/>
  <c r="K13" i="253"/>
  <c r="J13" i="253"/>
  <c r="I13" i="253"/>
  <c r="H13" i="253"/>
  <c r="G13" i="253"/>
  <c r="W12" i="253"/>
  <c r="V12" i="253"/>
  <c r="U12" i="253"/>
  <c r="T12" i="253"/>
  <c r="S12" i="253"/>
  <c r="K12" i="253"/>
  <c r="J12" i="253"/>
  <c r="I12" i="253"/>
  <c r="H12" i="253"/>
  <c r="G12" i="253"/>
  <c r="W11" i="253"/>
  <c r="U11" i="253"/>
  <c r="T11" i="253"/>
  <c r="S11" i="253"/>
  <c r="K11" i="253"/>
  <c r="I11" i="253"/>
  <c r="H11" i="253"/>
  <c r="G11" i="253"/>
  <c r="W10" i="253"/>
  <c r="V10" i="253"/>
  <c r="U10" i="253"/>
  <c r="T10" i="253"/>
  <c r="S10" i="253"/>
  <c r="K10" i="253"/>
  <c r="J10" i="253"/>
  <c r="I10" i="253"/>
  <c r="H10" i="253"/>
  <c r="G10" i="253"/>
  <c r="W9" i="253"/>
  <c r="V9" i="253"/>
  <c r="U9" i="253"/>
  <c r="T9" i="253"/>
  <c r="S9" i="253"/>
  <c r="K9" i="253"/>
  <c r="J9" i="253"/>
  <c r="I9" i="253"/>
  <c r="H9" i="253"/>
  <c r="G9" i="253"/>
  <c r="W8" i="253"/>
  <c r="V8" i="253"/>
  <c r="U8" i="253"/>
  <c r="T8" i="253"/>
  <c r="S8" i="253"/>
  <c r="K8" i="253"/>
  <c r="J8" i="253"/>
  <c r="I8" i="253"/>
  <c r="H8" i="253"/>
  <c r="G8" i="253"/>
  <c r="W7" i="253"/>
  <c r="V7" i="253"/>
  <c r="U7" i="253"/>
  <c r="T7" i="253"/>
  <c r="S7" i="253"/>
  <c r="K7" i="253"/>
  <c r="J7" i="253"/>
  <c r="I7" i="253"/>
  <c r="H7" i="253"/>
  <c r="G7" i="253"/>
  <c r="F43" i="243"/>
  <c r="G42" i="243"/>
  <c r="F42" i="243"/>
  <c r="V43" i="136"/>
  <c r="S43" i="136"/>
  <c r="S44" i="136"/>
  <c r="R43" i="136"/>
  <c r="Q43" i="136"/>
  <c r="Q44" i="136"/>
  <c r="N43" i="136"/>
  <c r="M43" i="136"/>
  <c r="M44" i="136"/>
  <c r="L43" i="136"/>
  <c r="K43" i="136"/>
  <c r="J43" i="136"/>
  <c r="I43" i="136"/>
  <c r="H43" i="136"/>
  <c r="F43" i="136"/>
  <c r="E43" i="136"/>
  <c r="U32" i="136"/>
  <c r="T59" i="168"/>
  <c r="R59" i="168"/>
  <c r="Q59" i="168"/>
  <c r="P59" i="168"/>
  <c r="M59" i="168"/>
  <c r="L59" i="168"/>
  <c r="K59" i="168"/>
  <c r="J59" i="168"/>
  <c r="I59" i="168"/>
  <c r="H59" i="168"/>
  <c r="G59" i="168"/>
  <c r="E59" i="168"/>
  <c r="X62" i="132"/>
  <c r="X61" i="132"/>
  <c r="X60" i="132"/>
  <c r="X59" i="132"/>
  <c r="AH54" i="167"/>
  <c r="AH53" i="167"/>
  <c r="AH52" i="167"/>
  <c r="R58" i="167"/>
  <c r="A45" i="250"/>
  <c r="R16" i="250"/>
  <c r="Q16" i="250"/>
  <c r="P16" i="250"/>
  <c r="O16" i="250"/>
  <c r="N16" i="250"/>
  <c r="M16" i="250"/>
  <c r="L16" i="250"/>
  <c r="K16" i="250"/>
  <c r="J16" i="250"/>
  <c r="I16" i="250"/>
  <c r="H16" i="250"/>
  <c r="G16" i="250"/>
  <c r="F16" i="250"/>
  <c r="R15" i="250"/>
  <c r="Q15" i="250"/>
  <c r="P15" i="250"/>
  <c r="O15" i="250"/>
  <c r="N15" i="250"/>
  <c r="M15" i="250"/>
  <c r="L15" i="250"/>
  <c r="K15" i="250"/>
  <c r="J15" i="250"/>
  <c r="I15" i="250"/>
  <c r="H15" i="250"/>
  <c r="G15" i="250"/>
  <c r="F15" i="250"/>
  <c r="R14" i="250"/>
  <c r="Q14" i="250"/>
  <c r="P14" i="250"/>
  <c r="O14" i="250"/>
  <c r="N14" i="250"/>
  <c r="M14" i="250"/>
  <c r="L14" i="250"/>
  <c r="K14" i="250"/>
  <c r="J14" i="250"/>
  <c r="I14" i="250"/>
  <c r="H14" i="250"/>
  <c r="G14" i="250"/>
  <c r="F14" i="250"/>
  <c r="R12" i="250"/>
  <c r="Q12" i="250"/>
  <c r="P12" i="250"/>
  <c r="O12" i="250"/>
  <c r="N12" i="250"/>
  <c r="M12" i="250"/>
  <c r="L12" i="250"/>
  <c r="K12" i="250"/>
  <c r="J12" i="250"/>
  <c r="I12" i="250"/>
  <c r="H12" i="250"/>
  <c r="G12" i="250"/>
  <c r="F12" i="250"/>
  <c r="R11" i="250"/>
  <c r="Q11" i="250"/>
  <c r="P11" i="250"/>
  <c r="O11" i="250"/>
  <c r="N11" i="250"/>
  <c r="M11" i="250"/>
  <c r="L11" i="250"/>
  <c r="K11" i="250"/>
  <c r="J11" i="250"/>
  <c r="I11" i="250"/>
  <c r="H11" i="250"/>
  <c r="G11" i="250"/>
  <c r="F11" i="250"/>
  <c r="R10" i="250"/>
  <c r="Q10" i="250"/>
  <c r="P10" i="250"/>
  <c r="O10" i="250"/>
  <c r="N10" i="250"/>
  <c r="M10" i="250"/>
  <c r="L10" i="250"/>
  <c r="K10" i="250"/>
  <c r="J10" i="250"/>
  <c r="I10" i="250"/>
  <c r="H10" i="250"/>
  <c r="G10" i="250"/>
  <c r="F10" i="250"/>
  <c r="R9" i="250"/>
  <c r="Q9" i="250"/>
  <c r="P9" i="250"/>
  <c r="O9" i="250"/>
  <c r="N9" i="250"/>
  <c r="M9" i="250"/>
  <c r="L9" i="250"/>
  <c r="K9" i="250"/>
  <c r="J9" i="250"/>
  <c r="I9" i="250"/>
  <c r="H9" i="250"/>
  <c r="G9" i="250"/>
  <c r="F9" i="250"/>
  <c r="E9" i="250"/>
  <c r="D9" i="250"/>
  <c r="O39" i="213"/>
  <c r="O37" i="213"/>
  <c r="O35" i="213"/>
  <c r="O33" i="213"/>
  <c r="O32" i="213"/>
  <c r="L47" i="249"/>
  <c r="L46" i="249"/>
  <c r="L45" i="249"/>
  <c r="L43" i="249"/>
  <c r="L41" i="249"/>
  <c r="L38" i="249"/>
  <c r="G38" i="249"/>
  <c r="G37" i="249"/>
  <c r="F38" i="249"/>
  <c r="F37" i="249"/>
  <c r="E38" i="249"/>
  <c r="E37" i="249"/>
  <c r="D38" i="249"/>
  <c r="D37" i="249"/>
  <c r="C38" i="249"/>
  <c r="C37" i="249"/>
  <c r="L36" i="249"/>
  <c r="G36" i="249"/>
  <c r="G35" i="249"/>
  <c r="F36" i="249"/>
  <c r="F35" i="249"/>
  <c r="E36" i="249"/>
  <c r="E35" i="249"/>
  <c r="D36" i="249"/>
  <c r="D35" i="249"/>
  <c r="C36" i="249"/>
  <c r="C35" i="249"/>
  <c r="L34" i="249"/>
  <c r="G34" i="249"/>
  <c r="G33" i="249"/>
  <c r="F34" i="249"/>
  <c r="F33" i="249"/>
  <c r="E34" i="249"/>
  <c r="E33" i="249"/>
  <c r="D34" i="249"/>
  <c r="D33" i="249"/>
  <c r="C34" i="249"/>
  <c r="C33" i="249"/>
  <c r="L32" i="249"/>
  <c r="G32" i="249"/>
  <c r="G31" i="249"/>
  <c r="F32" i="249"/>
  <c r="F31" i="249"/>
  <c r="E32" i="249"/>
  <c r="E31" i="249"/>
  <c r="D32" i="249"/>
  <c r="D31" i="249"/>
  <c r="C32" i="249"/>
  <c r="C31" i="249"/>
  <c r="L30" i="249"/>
  <c r="G30" i="249"/>
  <c r="G29" i="249"/>
  <c r="F30" i="249"/>
  <c r="F29" i="249"/>
  <c r="E30" i="249"/>
  <c r="E29" i="249"/>
  <c r="D30" i="249"/>
  <c r="D29" i="249"/>
  <c r="C30" i="249"/>
  <c r="C29" i="249"/>
  <c r="L28" i="249"/>
  <c r="G28" i="249"/>
  <c r="G27" i="249"/>
  <c r="F28" i="249"/>
  <c r="F27" i="249"/>
  <c r="E28" i="249"/>
  <c r="E27" i="249"/>
  <c r="D28" i="249"/>
  <c r="D27" i="249"/>
  <c r="C28" i="249"/>
  <c r="C27" i="249"/>
  <c r="L26" i="249"/>
  <c r="G26" i="249"/>
  <c r="G25" i="249"/>
  <c r="F26" i="249"/>
  <c r="F25" i="249"/>
  <c r="E26" i="249"/>
  <c r="E25" i="249"/>
  <c r="D26" i="249"/>
  <c r="D25" i="249"/>
  <c r="C26" i="249"/>
  <c r="C25" i="249"/>
  <c r="L24" i="249"/>
  <c r="G24" i="249"/>
  <c r="G23" i="249"/>
  <c r="F24" i="249"/>
  <c r="F23" i="249"/>
  <c r="E24" i="249"/>
  <c r="E23" i="249"/>
  <c r="D24" i="249"/>
  <c r="D23" i="249"/>
  <c r="C24" i="249"/>
  <c r="C23" i="249"/>
  <c r="L22" i="249"/>
  <c r="G22" i="249"/>
  <c r="G21" i="249"/>
  <c r="F22" i="249"/>
  <c r="E22" i="249"/>
  <c r="E21" i="249"/>
  <c r="D22" i="249"/>
  <c r="D21" i="249"/>
  <c r="C22" i="249"/>
  <c r="F21" i="249"/>
  <c r="C21" i="249"/>
  <c r="L20" i="249"/>
  <c r="G20" i="249"/>
  <c r="G19" i="249"/>
  <c r="F20" i="249"/>
  <c r="F19" i="249"/>
  <c r="E20" i="249"/>
  <c r="E19" i="249"/>
  <c r="D20" i="249"/>
  <c r="D19" i="249"/>
  <c r="C20" i="249"/>
  <c r="C19" i="249"/>
  <c r="L18" i="249"/>
  <c r="G18" i="249"/>
  <c r="G17" i="249"/>
  <c r="F18" i="249"/>
  <c r="F17" i="249"/>
  <c r="E18" i="249"/>
  <c r="E17" i="249"/>
  <c r="D18" i="249"/>
  <c r="D17" i="249"/>
  <c r="C18" i="249"/>
  <c r="C17" i="249"/>
  <c r="L16" i="249"/>
  <c r="G16" i="249"/>
  <c r="G15" i="249"/>
  <c r="F16" i="249"/>
  <c r="F15" i="249"/>
  <c r="E16" i="249"/>
  <c r="E15" i="249"/>
  <c r="D16" i="249"/>
  <c r="D15" i="249"/>
  <c r="C16" i="249"/>
  <c r="C15" i="249"/>
  <c r="G14" i="249"/>
  <c r="G13" i="249"/>
  <c r="F14" i="249"/>
  <c r="F13" i="249"/>
  <c r="E14" i="249"/>
  <c r="E13" i="249"/>
  <c r="D14" i="249"/>
  <c r="D13" i="249"/>
  <c r="C14" i="249"/>
  <c r="C13" i="249"/>
  <c r="L12" i="249"/>
  <c r="G12" i="249"/>
  <c r="G11" i="249"/>
  <c r="F12" i="249"/>
  <c r="F11" i="249"/>
  <c r="E12" i="249"/>
  <c r="E11" i="249"/>
  <c r="D12" i="249"/>
  <c r="D11" i="249"/>
  <c r="C12" i="249"/>
  <c r="C11" i="249"/>
  <c r="L10" i="249"/>
  <c r="G10" i="249"/>
  <c r="G9" i="249"/>
  <c r="F10" i="249"/>
  <c r="F9" i="249"/>
  <c r="E10" i="249"/>
  <c r="E9" i="249"/>
  <c r="D10" i="249"/>
  <c r="D9" i="249"/>
  <c r="C10" i="249"/>
  <c r="C9" i="249"/>
  <c r="L8" i="249"/>
  <c r="G8" i="249"/>
  <c r="G7" i="249"/>
  <c r="F8" i="249"/>
  <c r="F7" i="249"/>
  <c r="E8" i="249"/>
  <c r="E7" i="249"/>
  <c r="D8" i="249"/>
  <c r="D7" i="249"/>
  <c r="C8" i="249"/>
  <c r="C7" i="249"/>
  <c r="L6" i="249"/>
  <c r="D87" i="28"/>
  <c r="O30" i="222"/>
  <c r="O29" i="222"/>
  <c r="O28" i="222"/>
  <c r="O27" i="222"/>
  <c r="N14" i="222"/>
  <c r="N13" i="222"/>
  <c r="N12" i="222"/>
  <c r="N11" i="222"/>
  <c r="K32" i="238"/>
  <c r="Q14" i="222"/>
  <c r="Q12" i="222"/>
  <c r="Q11" i="222"/>
  <c r="P14" i="222"/>
  <c r="P11" i="222"/>
  <c r="O14" i="222"/>
  <c r="O13" i="222"/>
  <c r="O12" i="222"/>
  <c r="O11" i="222"/>
  <c r="AD15" i="213"/>
  <c r="O17" i="213"/>
  <c r="O18" i="213"/>
  <c r="O11" i="213"/>
  <c r="O9" i="213"/>
  <c r="O10" i="213"/>
  <c r="P24" i="222"/>
  <c r="P23" i="222"/>
  <c r="P22" i="222"/>
  <c r="N26" i="222"/>
  <c r="N25" i="222"/>
  <c r="N22" i="222"/>
  <c r="N21" i="222"/>
  <c r="Q20" i="222"/>
  <c r="Q19" i="222"/>
  <c r="Q16" i="222"/>
  <c r="P20" i="222"/>
  <c r="P19" i="222"/>
  <c r="P16" i="222"/>
  <c r="O20" i="222"/>
  <c r="O16" i="222"/>
  <c r="O15" i="222"/>
  <c r="N20" i="222"/>
  <c r="N19" i="222"/>
  <c r="N16" i="222"/>
  <c r="N15" i="222"/>
  <c r="U33" i="133"/>
  <c r="C93" i="246"/>
  <c r="Q92" i="246"/>
  <c r="S92" i="246"/>
  <c r="O92" i="246"/>
  <c r="P92" i="246"/>
  <c r="V91" i="246"/>
  <c r="U91" i="246"/>
  <c r="O91" i="246"/>
  <c r="P91" i="246"/>
  <c r="L91" i="246"/>
  <c r="N91" i="246"/>
  <c r="H91" i="246"/>
  <c r="J91" i="246"/>
  <c r="C91" i="246"/>
  <c r="D91" i="246"/>
  <c r="P90" i="246"/>
  <c r="Q90" i="246"/>
  <c r="C90" i="246"/>
  <c r="O90" i="246"/>
  <c r="W85" i="246"/>
  <c r="V85" i="246"/>
  <c r="U85" i="246"/>
  <c r="R85" i="246"/>
  <c r="O85" i="246"/>
  <c r="M85" i="246"/>
  <c r="L85" i="246"/>
  <c r="J85" i="246"/>
  <c r="H85" i="246"/>
  <c r="F85" i="246"/>
  <c r="D85" i="246"/>
  <c r="C85" i="246"/>
  <c r="W84" i="246"/>
  <c r="V84" i="246"/>
  <c r="U84" i="246"/>
  <c r="S84" i="246"/>
  <c r="R84" i="246"/>
  <c r="P84" i="246"/>
  <c r="O84" i="246"/>
  <c r="N84" i="246"/>
  <c r="M84" i="246"/>
  <c r="L84" i="246"/>
  <c r="K84" i="246"/>
  <c r="I84" i="246"/>
  <c r="G84" i="246"/>
  <c r="F84" i="246"/>
  <c r="E84" i="246"/>
  <c r="D84" i="246"/>
  <c r="C84" i="246"/>
  <c r="V83" i="246"/>
  <c r="S83" i="246"/>
  <c r="R83" i="246"/>
  <c r="P83" i="246"/>
  <c r="O83" i="246"/>
  <c r="V82" i="246"/>
  <c r="W82" i="246"/>
  <c r="R82" i="246"/>
  <c r="S82" i="246"/>
  <c r="N82" i="246"/>
  <c r="P82" i="246"/>
  <c r="I82" i="246"/>
  <c r="J82" i="246"/>
  <c r="C82" i="246"/>
  <c r="G82" i="246"/>
  <c r="V81" i="246"/>
  <c r="W81" i="246"/>
  <c r="R81" i="246"/>
  <c r="S81" i="246"/>
  <c r="N81" i="246"/>
  <c r="P81" i="246"/>
  <c r="M81" i="246"/>
  <c r="V80" i="246"/>
  <c r="W80" i="246"/>
  <c r="R80" i="246"/>
  <c r="U80" i="246"/>
  <c r="N80" i="246"/>
  <c r="P80" i="246"/>
  <c r="I80" i="246"/>
  <c r="J80" i="246"/>
  <c r="C80" i="246"/>
  <c r="G80" i="246"/>
  <c r="V79" i="246"/>
  <c r="W79" i="246"/>
  <c r="R79" i="246"/>
  <c r="S79" i="246"/>
  <c r="N79" i="246"/>
  <c r="P79" i="246"/>
  <c r="M79" i="246"/>
  <c r="W78" i="246"/>
  <c r="V78" i="246"/>
  <c r="U78" i="246"/>
  <c r="S78" i="246"/>
  <c r="R78" i="246"/>
  <c r="Q78" i="246"/>
  <c r="P78" i="246"/>
  <c r="O78" i="246"/>
  <c r="N78" i="246"/>
  <c r="M78" i="246"/>
  <c r="L78" i="246"/>
  <c r="K78" i="246"/>
  <c r="J78" i="246"/>
  <c r="I78" i="246"/>
  <c r="H78" i="246"/>
  <c r="G78" i="246"/>
  <c r="F78" i="246"/>
  <c r="E78" i="246"/>
  <c r="D78" i="246"/>
  <c r="C78" i="246"/>
  <c r="W77" i="246"/>
  <c r="V77" i="246"/>
  <c r="U77" i="246"/>
  <c r="S77" i="246"/>
  <c r="R77" i="246"/>
  <c r="Q77" i="246"/>
  <c r="P77" i="246"/>
  <c r="O77" i="246"/>
  <c r="N77" i="246"/>
  <c r="M77" i="246"/>
  <c r="L77" i="246"/>
  <c r="K77" i="246"/>
  <c r="J77" i="246"/>
  <c r="I77" i="246"/>
  <c r="H77" i="246"/>
  <c r="G77" i="246"/>
  <c r="F77" i="246"/>
  <c r="E77" i="246"/>
  <c r="D77" i="246"/>
  <c r="C77" i="246"/>
  <c r="U76" i="246"/>
  <c r="S76" i="246"/>
  <c r="R76" i="246"/>
  <c r="Q76" i="246"/>
  <c r="P76" i="246"/>
  <c r="O76" i="246"/>
  <c r="N76" i="246"/>
  <c r="M76" i="246"/>
  <c r="L76" i="246"/>
  <c r="K76" i="246"/>
  <c r="J76" i="246"/>
  <c r="I76" i="246"/>
  <c r="H76" i="246"/>
  <c r="G76" i="246"/>
  <c r="F76" i="246"/>
  <c r="E76" i="246"/>
  <c r="D76" i="246"/>
  <c r="C76" i="246"/>
  <c r="J75" i="246"/>
  <c r="U75" i="246"/>
  <c r="C75" i="246"/>
  <c r="G75" i="246"/>
  <c r="W74" i="246"/>
  <c r="V74" i="246"/>
  <c r="U74" i="246"/>
  <c r="S74" i="246"/>
  <c r="R74" i="246"/>
  <c r="Q74" i="246"/>
  <c r="P74" i="246"/>
  <c r="O74" i="246"/>
  <c r="N74" i="246"/>
  <c r="M74" i="246"/>
  <c r="L74" i="246"/>
  <c r="K74" i="246"/>
  <c r="J74" i="246"/>
  <c r="I74" i="246"/>
  <c r="G74" i="246"/>
  <c r="F74" i="246"/>
  <c r="E74" i="246"/>
  <c r="D74" i="246"/>
  <c r="C74" i="246"/>
  <c r="Q69" i="246"/>
  <c r="O69" i="246"/>
  <c r="M69" i="246"/>
  <c r="K69" i="246"/>
  <c r="I69" i="246"/>
  <c r="G69" i="246"/>
  <c r="E69" i="246"/>
  <c r="C69" i="246"/>
  <c r="O67" i="246"/>
  <c r="K67" i="246"/>
  <c r="G67" i="246"/>
  <c r="C67" i="246"/>
  <c r="G66" i="246"/>
  <c r="AP65" i="246"/>
  <c r="AJ65" i="246"/>
  <c r="O65" i="246"/>
  <c r="K65" i="246"/>
  <c r="G65" i="246"/>
  <c r="C65" i="246"/>
  <c r="AQ64" i="246"/>
  <c r="AO64" i="246"/>
  <c r="AN64" i="246"/>
  <c r="AM64" i="246"/>
  <c r="AL64" i="246"/>
  <c r="AK64" i="246"/>
  <c r="AH64" i="246"/>
  <c r="AG64" i="246"/>
  <c r="AF64" i="246"/>
  <c r="AE64" i="246"/>
  <c r="AQ63" i="246"/>
  <c r="AO63" i="246"/>
  <c r="AN63" i="246"/>
  <c r="AM63" i="246"/>
  <c r="AL63" i="246"/>
  <c r="AK63" i="246"/>
  <c r="AH63" i="246"/>
  <c r="AG63" i="246"/>
  <c r="AF63" i="246"/>
  <c r="AE63" i="246"/>
  <c r="O63" i="246"/>
  <c r="K63" i="246"/>
  <c r="G63" i="246"/>
  <c r="C63" i="246"/>
  <c r="AQ62" i="246"/>
  <c r="AO62" i="246"/>
  <c r="AN62" i="246"/>
  <c r="AM62" i="246"/>
  <c r="AL62" i="246"/>
  <c r="AK62" i="246"/>
  <c r="AH62" i="246"/>
  <c r="AG62" i="246"/>
  <c r="AF62" i="246"/>
  <c r="AE62" i="246"/>
  <c r="AQ61" i="246"/>
  <c r="AO61" i="246"/>
  <c r="AN61" i="246"/>
  <c r="AM61" i="246"/>
  <c r="AL61" i="246"/>
  <c r="AK61" i="246"/>
  <c r="AH61" i="246"/>
  <c r="AG61" i="246"/>
  <c r="AF61" i="246"/>
  <c r="AE61" i="246"/>
  <c r="O61" i="246"/>
  <c r="K61" i="246"/>
  <c r="G61" i="246"/>
  <c r="C61" i="246"/>
  <c r="AQ60" i="246"/>
  <c r="AO60" i="246"/>
  <c r="AN60" i="246"/>
  <c r="AM60" i="246"/>
  <c r="AL60" i="246"/>
  <c r="AK60" i="246"/>
  <c r="AH60" i="246"/>
  <c r="AG60" i="246"/>
  <c r="AF60" i="246"/>
  <c r="AE60" i="246"/>
  <c r="AQ59" i="246"/>
  <c r="AO59" i="246"/>
  <c r="AN59" i="246"/>
  <c r="AM59" i="246"/>
  <c r="AL59" i="246"/>
  <c r="AK59" i="246"/>
  <c r="AH59" i="246"/>
  <c r="AG59" i="246"/>
  <c r="AF59" i="246"/>
  <c r="AE59" i="246"/>
  <c r="AQ58" i="246"/>
  <c r="AO58" i="246"/>
  <c r="AN58" i="246"/>
  <c r="AM58" i="246"/>
  <c r="AL58" i="246"/>
  <c r="AK58" i="246"/>
  <c r="AH58" i="246"/>
  <c r="AG58" i="246"/>
  <c r="AF58" i="246"/>
  <c r="AE58" i="246"/>
  <c r="AQ57" i="246"/>
  <c r="AO57" i="246"/>
  <c r="AN57" i="246"/>
  <c r="AM57" i="246"/>
  <c r="AL57" i="246"/>
  <c r="AK57" i="246"/>
  <c r="AH57" i="246"/>
  <c r="AG57" i="246"/>
  <c r="AF57" i="246"/>
  <c r="AE57" i="246"/>
  <c r="R56" i="246"/>
  <c r="Q56" i="246"/>
  <c r="P56" i="246"/>
  <c r="O56" i="246"/>
  <c r="N56" i="246"/>
  <c r="M56" i="246"/>
  <c r="L56" i="246"/>
  <c r="K56" i="246"/>
  <c r="J56" i="246"/>
  <c r="I56" i="246"/>
  <c r="H56" i="246"/>
  <c r="G56" i="246"/>
  <c r="F56" i="246"/>
  <c r="E56" i="246"/>
  <c r="D56" i="246"/>
  <c r="C56" i="246"/>
  <c r="R55" i="246"/>
  <c r="Q55" i="246"/>
  <c r="P55" i="246"/>
  <c r="O55" i="246"/>
  <c r="N55" i="246"/>
  <c r="M55" i="246"/>
  <c r="L55" i="246"/>
  <c r="K55" i="246"/>
  <c r="J55" i="246"/>
  <c r="I55" i="246"/>
  <c r="H55" i="246"/>
  <c r="G55" i="246"/>
  <c r="F55" i="246"/>
  <c r="E55" i="246"/>
  <c r="D55" i="246"/>
  <c r="C55" i="246"/>
  <c r="O54" i="246"/>
  <c r="L54" i="246"/>
  <c r="I54" i="246"/>
  <c r="G54" i="246"/>
  <c r="F54" i="246"/>
  <c r="E54" i="246"/>
  <c r="R53" i="246"/>
  <c r="Q53" i="246"/>
  <c r="P53" i="246"/>
  <c r="O53" i="246"/>
  <c r="N53" i="246"/>
  <c r="M53" i="246"/>
  <c r="L53" i="246"/>
  <c r="K53" i="246"/>
  <c r="J53" i="246"/>
  <c r="I53" i="246"/>
  <c r="H53" i="246"/>
  <c r="G53" i="246"/>
  <c r="F53" i="246"/>
  <c r="E53" i="246"/>
  <c r="D53" i="246"/>
  <c r="C53" i="246"/>
  <c r="AP51" i="246"/>
  <c r="AJ51" i="246"/>
  <c r="AI51" i="246"/>
  <c r="AC51" i="246"/>
  <c r="R51" i="246"/>
  <c r="Q51" i="246"/>
  <c r="P51" i="246"/>
  <c r="O51" i="246"/>
  <c r="N51" i="246"/>
  <c r="M51" i="246"/>
  <c r="L51" i="246"/>
  <c r="K51" i="246"/>
  <c r="J51" i="246"/>
  <c r="I51" i="246"/>
  <c r="H51" i="246"/>
  <c r="G51" i="246"/>
  <c r="F51" i="246"/>
  <c r="E51" i="246"/>
  <c r="D51" i="246"/>
  <c r="C51" i="246"/>
  <c r="R50" i="246"/>
  <c r="Q50" i="246"/>
  <c r="P50" i="246"/>
  <c r="O50" i="246"/>
  <c r="N50" i="246"/>
  <c r="M50" i="246"/>
  <c r="L50" i="246"/>
  <c r="K50" i="246"/>
  <c r="J50" i="246"/>
  <c r="I50" i="246"/>
  <c r="H50" i="246"/>
  <c r="G50" i="246"/>
  <c r="F50" i="246"/>
  <c r="E50" i="246"/>
  <c r="D50" i="246"/>
  <c r="C50" i="246"/>
  <c r="AQ49" i="246"/>
  <c r="AO49" i="246"/>
  <c r="AN49" i="246"/>
  <c r="AM49" i="246"/>
  <c r="AL49" i="246"/>
  <c r="AK49" i="246"/>
  <c r="AH49" i="246"/>
  <c r="AG49" i="246"/>
  <c r="AF49" i="246"/>
  <c r="AE49" i="246"/>
  <c r="R49" i="246"/>
  <c r="Q49" i="246"/>
  <c r="P49" i="246"/>
  <c r="O49" i="246"/>
  <c r="N49" i="246"/>
  <c r="M49" i="246"/>
  <c r="L49" i="246"/>
  <c r="K49" i="246"/>
  <c r="J49" i="246"/>
  <c r="I49" i="246"/>
  <c r="G49" i="246"/>
  <c r="F49" i="246"/>
  <c r="E49" i="246"/>
  <c r="D49" i="246"/>
  <c r="C49" i="246"/>
  <c r="D48" i="246"/>
  <c r="I48" i="246"/>
  <c r="G48" i="246"/>
  <c r="AQ47" i="246"/>
  <c r="AO47" i="246"/>
  <c r="AN47" i="246"/>
  <c r="AM47" i="246"/>
  <c r="AL47" i="246"/>
  <c r="AK47" i="246"/>
  <c r="AH47" i="246"/>
  <c r="AG47" i="246"/>
  <c r="AF47" i="246"/>
  <c r="AE47" i="246"/>
  <c r="O47" i="246"/>
  <c r="L47" i="246"/>
  <c r="G47" i="246"/>
  <c r="F47" i="246"/>
  <c r="E47" i="246"/>
  <c r="AQ46" i="246"/>
  <c r="AO46" i="246"/>
  <c r="AN46" i="246"/>
  <c r="AM46" i="246"/>
  <c r="AL46" i="246"/>
  <c r="AK46" i="246"/>
  <c r="AH46" i="246"/>
  <c r="AG46" i="246"/>
  <c r="AF46" i="246"/>
  <c r="AE46" i="246"/>
  <c r="AQ45" i="246"/>
  <c r="AO45" i="246"/>
  <c r="AN45" i="246"/>
  <c r="AM45" i="246"/>
  <c r="AL45" i="246"/>
  <c r="AK45" i="246"/>
  <c r="AH45" i="246"/>
  <c r="AG45" i="246"/>
  <c r="AF45" i="246"/>
  <c r="AE45" i="246"/>
  <c r="AQ44" i="246"/>
  <c r="AO44" i="246"/>
  <c r="AN44" i="246"/>
  <c r="AM44" i="246"/>
  <c r="AL44" i="246"/>
  <c r="AK44" i="246"/>
  <c r="AH44" i="246"/>
  <c r="AG44" i="246"/>
  <c r="AF44" i="246"/>
  <c r="AE44" i="246"/>
  <c r="AQ43" i="246"/>
  <c r="AO43" i="246"/>
  <c r="AN43" i="246"/>
  <c r="AM43" i="246"/>
  <c r="AL43" i="246"/>
  <c r="AK43" i="246"/>
  <c r="AH43" i="246"/>
  <c r="AG43" i="246"/>
  <c r="AF43" i="246"/>
  <c r="AE43" i="246"/>
  <c r="AQ42" i="246"/>
  <c r="AO42" i="246"/>
  <c r="AN42" i="246"/>
  <c r="AM42" i="246"/>
  <c r="AL42" i="246"/>
  <c r="AK42" i="246"/>
  <c r="AH42" i="246"/>
  <c r="AG42" i="246"/>
  <c r="AF42" i="246"/>
  <c r="AE42" i="246"/>
  <c r="AQ41" i="246"/>
  <c r="AO41" i="246"/>
  <c r="AN41" i="246"/>
  <c r="AM41" i="246"/>
  <c r="AL41" i="246"/>
  <c r="AK41" i="246"/>
  <c r="AH41" i="246"/>
  <c r="AG41" i="246"/>
  <c r="AF41" i="246"/>
  <c r="AE41" i="246"/>
  <c r="R39" i="246"/>
  <c r="Q39" i="246"/>
  <c r="P39" i="246"/>
  <c r="O39" i="246"/>
  <c r="N39" i="246"/>
  <c r="M39" i="246"/>
  <c r="L39" i="246"/>
  <c r="K39" i="246"/>
  <c r="J39" i="246"/>
  <c r="I39" i="246"/>
  <c r="H39" i="246"/>
  <c r="G39" i="246"/>
  <c r="F39" i="246"/>
  <c r="E39" i="246"/>
  <c r="D39" i="246"/>
  <c r="Q38" i="246"/>
  <c r="O38" i="246"/>
  <c r="N38" i="246"/>
  <c r="M38" i="246"/>
  <c r="L38" i="246"/>
  <c r="I38" i="246"/>
  <c r="G38" i="246"/>
  <c r="F38" i="246"/>
  <c r="E38" i="246"/>
  <c r="Q37" i="246"/>
  <c r="O37" i="246"/>
  <c r="N37" i="246"/>
  <c r="M37" i="246"/>
  <c r="L37" i="246"/>
  <c r="I37" i="246"/>
  <c r="G37" i="246"/>
  <c r="F37" i="246"/>
  <c r="E37" i="246"/>
  <c r="R36" i="246"/>
  <c r="P36" i="246"/>
  <c r="K36" i="246"/>
  <c r="J36" i="246"/>
  <c r="H36" i="246"/>
  <c r="Q35" i="246"/>
  <c r="Q36" i="246"/>
  <c r="O35" i="246"/>
  <c r="O36" i="246"/>
  <c r="N35" i="246"/>
  <c r="N36" i="246"/>
  <c r="M35" i="246"/>
  <c r="M36" i="246"/>
  <c r="L35" i="246"/>
  <c r="L36" i="246"/>
  <c r="I35" i="246"/>
  <c r="I36" i="246"/>
  <c r="G35" i="246"/>
  <c r="G36" i="246"/>
  <c r="F35" i="246"/>
  <c r="F36" i="246"/>
  <c r="E35" i="246"/>
  <c r="E36" i="246"/>
  <c r="Q34" i="246"/>
  <c r="O34" i="246"/>
  <c r="N34" i="246"/>
  <c r="M34" i="246"/>
  <c r="L34" i="246"/>
  <c r="I34" i="246"/>
  <c r="G34" i="246"/>
  <c r="F34" i="246"/>
  <c r="E34" i="246"/>
  <c r="AR33" i="246"/>
  <c r="AR67" i="246"/>
  <c r="AQ33" i="246"/>
  <c r="AQ67" i="246"/>
  <c r="AP33" i="246"/>
  <c r="AP67" i="246"/>
  <c r="AO33" i="246"/>
  <c r="AO67" i="246"/>
  <c r="AN33" i="246"/>
  <c r="AN67" i="246"/>
  <c r="AM33" i="246"/>
  <c r="AM67" i="246"/>
  <c r="AL33" i="246"/>
  <c r="AL67" i="246"/>
  <c r="AK33" i="246"/>
  <c r="AK67" i="246"/>
  <c r="AJ33" i="246"/>
  <c r="AJ67" i="246"/>
  <c r="AI33" i="246"/>
  <c r="AI67" i="246"/>
  <c r="AH33" i="246"/>
  <c r="AH67" i="246"/>
  <c r="AG33" i="246"/>
  <c r="AG67" i="246"/>
  <c r="AF33" i="246"/>
  <c r="AF67" i="246"/>
  <c r="AE33" i="246"/>
  <c r="AE67" i="246"/>
  <c r="AD33" i="246"/>
  <c r="AD67" i="246"/>
  <c r="AC33" i="246"/>
  <c r="AC67" i="246"/>
  <c r="Q33" i="246"/>
  <c r="O33" i="246"/>
  <c r="N33" i="246"/>
  <c r="M33" i="246"/>
  <c r="L33" i="246"/>
  <c r="I33" i="246"/>
  <c r="G33" i="246"/>
  <c r="F33" i="246"/>
  <c r="E33" i="246"/>
  <c r="AR32" i="246"/>
  <c r="AR66" i="246"/>
  <c r="AQ32" i="246"/>
  <c r="AQ66" i="246"/>
  <c r="AP32" i="246"/>
  <c r="AP66" i="246"/>
  <c r="AO32" i="246"/>
  <c r="AO66" i="246"/>
  <c r="AN32" i="246"/>
  <c r="AN66" i="246"/>
  <c r="AM32" i="246"/>
  <c r="AM66" i="246"/>
  <c r="AL32" i="246"/>
  <c r="AL66" i="246"/>
  <c r="AK32" i="246"/>
  <c r="AK66" i="246"/>
  <c r="AI32" i="246"/>
  <c r="AJ32" i="246"/>
  <c r="AJ66" i="246"/>
  <c r="AD32" i="246"/>
  <c r="AG32" i="246"/>
  <c r="AG66" i="246"/>
  <c r="AC32" i="246"/>
  <c r="AC66" i="246"/>
  <c r="Q32" i="246"/>
  <c r="O32" i="246"/>
  <c r="N32" i="246"/>
  <c r="M32" i="246"/>
  <c r="L32" i="246"/>
  <c r="I32" i="246"/>
  <c r="G32" i="246"/>
  <c r="F32" i="246"/>
  <c r="E32" i="246"/>
  <c r="AR31" i="246"/>
  <c r="AR65" i="246"/>
  <c r="AQ31" i="246"/>
  <c r="AQ65" i="246"/>
  <c r="AO31" i="246"/>
  <c r="AO65" i="246"/>
  <c r="AN31" i="246"/>
  <c r="AN65" i="246"/>
  <c r="AM31" i="246"/>
  <c r="AM65" i="246"/>
  <c r="AL31" i="246"/>
  <c r="AL65" i="246"/>
  <c r="AK31" i="246"/>
  <c r="AK65" i="246"/>
  <c r="AI31" i="246"/>
  <c r="AI65" i="246"/>
  <c r="AH31" i="246"/>
  <c r="AH65" i="246"/>
  <c r="AG31" i="246"/>
  <c r="AG65" i="246"/>
  <c r="AF31" i="246"/>
  <c r="AF65" i="246"/>
  <c r="AE31" i="246"/>
  <c r="AE65" i="246"/>
  <c r="AD31" i="246"/>
  <c r="AD65" i="246"/>
  <c r="AC31" i="246"/>
  <c r="AC65" i="246"/>
  <c r="Q31" i="246"/>
  <c r="O31" i="246"/>
  <c r="N31" i="246"/>
  <c r="M31" i="246"/>
  <c r="L31" i="246"/>
  <c r="I31" i="246"/>
  <c r="G31" i="246"/>
  <c r="F31" i="246"/>
  <c r="E31" i="246"/>
  <c r="AR30" i="246"/>
  <c r="AQ30" i="246"/>
  <c r="AP30" i="246"/>
  <c r="AO30" i="246"/>
  <c r="AN30" i="246"/>
  <c r="AM30" i="246"/>
  <c r="AL30" i="246"/>
  <c r="AK30" i="246"/>
  <c r="AJ30" i="246"/>
  <c r="AI30" i="246"/>
  <c r="AH30" i="246"/>
  <c r="AG30" i="246"/>
  <c r="AF30" i="246"/>
  <c r="AE30" i="246"/>
  <c r="AD30" i="246"/>
  <c r="AC30" i="246"/>
  <c r="Q30" i="246"/>
  <c r="O30" i="246"/>
  <c r="N30" i="246"/>
  <c r="M30" i="246"/>
  <c r="L30" i="246"/>
  <c r="I30" i="246"/>
  <c r="G30" i="246"/>
  <c r="F30" i="246"/>
  <c r="E30" i="246"/>
  <c r="AR29" i="246"/>
  <c r="AQ29" i="246"/>
  <c r="AO29" i="246"/>
  <c r="AN29" i="246"/>
  <c r="AM29" i="246"/>
  <c r="AL29" i="246"/>
  <c r="AK29" i="246"/>
  <c r="AI29" i="246"/>
  <c r="AH29" i="246"/>
  <c r="AG29" i="246"/>
  <c r="AF29" i="246"/>
  <c r="AE29" i="246"/>
  <c r="AD29" i="246"/>
  <c r="AC29" i="246"/>
  <c r="Q29" i="246"/>
  <c r="O29" i="246"/>
  <c r="N29" i="246"/>
  <c r="M29" i="246"/>
  <c r="L29" i="246"/>
  <c r="I29" i="246"/>
  <c r="G29" i="246"/>
  <c r="F29" i="246"/>
  <c r="E29" i="246"/>
  <c r="AR28" i="246"/>
  <c r="AQ28" i="246"/>
  <c r="AP28" i="246"/>
  <c r="AO28" i="246"/>
  <c r="AN28" i="246"/>
  <c r="AM28" i="246"/>
  <c r="AL28" i="246"/>
  <c r="AK28" i="246"/>
  <c r="AJ28" i="246"/>
  <c r="AI28" i="246"/>
  <c r="AH28" i="246"/>
  <c r="AG28" i="246"/>
  <c r="AF28" i="246"/>
  <c r="AE28" i="246"/>
  <c r="AD28" i="246"/>
  <c r="AC28" i="246"/>
  <c r="AR27" i="246"/>
  <c r="AQ27" i="246"/>
  <c r="AO27" i="246"/>
  <c r="AN27" i="246"/>
  <c r="AM27" i="246"/>
  <c r="AL27" i="246"/>
  <c r="AK27" i="246"/>
  <c r="AI27" i="246"/>
  <c r="AH27" i="246"/>
  <c r="AG27" i="246"/>
  <c r="AF27" i="246"/>
  <c r="AE27" i="246"/>
  <c r="AD27" i="246"/>
  <c r="AC27" i="246"/>
  <c r="AR26" i="246"/>
  <c r="AQ26" i="246"/>
  <c r="AP26" i="246"/>
  <c r="AO26" i="246"/>
  <c r="AN26" i="246"/>
  <c r="AM26" i="246"/>
  <c r="AL26" i="246"/>
  <c r="AK26" i="246"/>
  <c r="AJ26" i="246"/>
  <c r="AI26" i="246"/>
  <c r="AH26" i="246"/>
  <c r="AG26" i="246"/>
  <c r="AF26" i="246"/>
  <c r="AE26" i="246"/>
  <c r="AD26" i="246"/>
  <c r="AC26" i="246"/>
  <c r="AR25" i="246"/>
  <c r="AQ25" i="246"/>
  <c r="AO25" i="246"/>
  <c r="AN25" i="246"/>
  <c r="AM25" i="246"/>
  <c r="AL25" i="246"/>
  <c r="AK25" i="246"/>
  <c r="AI25" i="246"/>
  <c r="AH25" i="246"/>
  <c r="AG25" i="246"/>
  <c r="AF25" i="246"/>
  <c r="AE25" i="246"/>
  <c r="AD25" i="246"/>
  <c r="AC25" i="246"/>
  <c r="AR24" i="246"/>
  <c r="AQ24" i="246"/>
  <c r="AP24" i="246"/>
  <c r="AO24" i="246"/>
  <c r="AN24" i="246"/>
  <c r="AM24" i="246"/>
  <c r="AL24" i="246"/>
  <c r="AK24" i="246"/>
  <c r="AJ24" i="246"/>
  <c r="AI24" i="246"/>
  <c r="AH24" i="246"/>
  <c r="AG24" i="246"/>
  <c r="AF24" i="246"/>
  <c r="AE24" i="246"/>
  <c r="AD24" i="246"/>
  <c r="AC24" i="246"/>
  <c r="AR23" i="246"/>
  <c r="AQ23" i="246"/>
  <c r="AO23" i="246"/>
  <c r="AN23" i="246"/>
  <c r="AM23" i="246"/>
  <c r="AL23" i="246"/>
  <c r="AK23" i="246"/>
  <c r="AI23" i="246"/>
  <c r="AH23" i="246"/>
  <c r="AG23" i="246"/>
  <c r="AF23" i="246"/>
  <c r="AE23" i="246"/>
  <c r="AD23" i="246"/>
  <c r="AC23" i="246"/>
  <c r="AR22" i="246"/>
  <c r="AR56" i="246"/>
  <c r="AQ22" i="246"/>
  <c r="AQ56" i="246"/>
  <c r="AP22" i="246"/>
  <c r="AP56" i="246"/>
  <c r="AO22" i="246"/>
  <c r="AO56" i="246"/>
  <c r="AN22" i="246"/>
  <c r="AN56" i="246"/>
  <c r="AL22" i="246"/>
  <c r="AM22" i="246"/>
  <c r="AM56" i="246"/>
  <c r="AJ22" i="246"/>
  <c r="AK22" i="246"/>
  <c r="AK56" i="246"/>
  <c r="AD22" i="246"/>
  <c r="AI22" i="246"/>
  <c r="AI56" i="246"/>
  <c r="AC22" i="246"/>
  <c r="AC56" i="246"/>
  <c r="AR21" i="246"/>
  <c r="AR55" i="246"/>
  <c r="AQ21" i="246"/>
  <c r="AQ55" i="246"/>
  <c r="AP21" i="246"/>
  <c r="AP55" i="246"/>
  <c r="AO21" i="246"/>
  <c r="AO55" i="246"/>
  <c r="AN21" i="246"/>
  <c r="AN55" i="246"/>
  <c r="AM21" i="246"/>
  <c r="AM55" i="246"/>
  <c r="AL21" i="246"/>
  <c r="AL55" i="246"/>
  <c r="AK21" i="246"/>
  <c r="AK55" i="246"/>
  <c r="AJ21" i="246"/>
  <c r="AJ55" i="246"/>
  <c r="AI21" i="246"/>
  <c r="AI55" i="246"/>
  <c r="AH21" i="246"/>
  <c r="AH55" i="246"/>
  <c r="AG21" i="246"/>
  <c r="AG55" i="246"/>
  <c r="AF21" i="246"/>
  <c r="AF55" i="246"/>
  <c r="AE21" i="246"/>
  <c r="AE55" i="246"/>
  <c r="AD21" i="246"/>
  <c r="AD55" i="246"/>
  <c r="AC21" i="246"/>
  <c r="AC55" i="246"/>
  <c r="R21" i="246"/>
  <c r="Q21" i="246"/>
  <c r="P21" i="246"/>
  <c r="O21" i="246"/>
  <c r="N21" i="246"/>
  <c r="M21" i="246"/>
  <c r="L21" i="246"/>
  <c r="K21" i="246"/>
  <c r="J21" i="246"/>
  <c r="I21" i="246"/>
  <c r="H21" i="246"/>
  <c r="G21" i="246"/>
  <c r="F21" i="246"/>
  <c r="E21" i="246"/>
  <c r="D21" i="246"/>
  <c r="AR20" i="246"/>
  <c r="AR53" i="246"/>
  <c r="AQ20" i="246"/>
  <c r="AQ53" i="246"/>
  <c r="AP20" i="246"/>
  <c r="AP53" i="246"/>
  <c r="AO20" i="246"/>
  <c r="AO53" i="246"/>
  <c r="AN20" i="246"/>
  <c r="AN53" i="246"/>
  <c r="AM20" i="246"/>
  <c r="AM53" i="246"/>
  <c r="AL20" i="246"/>
  <c r="AL53" i="246"/>
  <c r="AK20" i="246"/>
  <c r="AK53" i="246"/>
  <c r="AJ20" i="246"/>
  <c r="AJ53" i="246"/>
  <c r="AI20" i="246"/>
  <c r="AI53" i="246"/>
  <c r="AH20" i="246"/>
  <c r="AH53" i="246"/>
  <c r="AG20" i="246"/>
  <c r="AG53" i="246"/>
  <c r="AF20" i="246"/>
  <c r="AF53" i="246"/>
  <c r="AE20" i="246"/>
  <c r="AE53" i="246"/>
  <c r="AD20" i="246"/>
  <c r="AD53" i="246"/>
  <c r="AC20" i="246"/>
  <c r="AC53" i="246"/>
  <c r="R20" i="246"/>
  <c r="Q20" i="246"/>
  <c r="P20" i="246"/>
  <c r="O20" i="246"/>
  <c r="N20" i="246"/>
  <c r="M20" i="246"/>
  <c r="L20" i="246"/>
  <c r="K20" i="246"/>
  <c r="J20" i="246"/>
  <c r="I20" i="246"/>
  <c r="H20" i="246"/>
  <c r="G20" i="246"/>
  <c r="F20" i="246"/>
  <c r="E20" i="246"/>
  <c r="D20" i="246"/>
  <c r="C20" i="246"/>
  <c r="AR19" i="246"/>
  <c r="AR52" i="246"/>
  <c r="AQ19" i="246"/>
  <c r="AQ52" i="246"/>
  <c r="AP19" i="246"/>
  <c r="AP52" i="246"/>
  <c r="AO19" i="246"/>
  <c r="AO52" i="246"/>
  <c r="AN19" i="246"/>
  <c r="AN52" i="246"/>
  <c r="AM19" i="246"/>
  <c r="AM52" i="246"/>
  <c r="AL19" i="246"/>
  <c r="AL52" i="246"/>
  <c r="AK19" i="246"/>
  <c r="AK52" i="246"/>
  <c r="AJ19" i="246"/>
  <c r="AJ52" i="246"/>
  <c r="AI19" i="246"/>
  <c r="AI52" i="246"/>
  <c r="AH19" i="246"/>
  <c r="AH52" i="246"/>
  <c r="AG19" i="246"/>
  <c r="AG52" i="246"/>
  <c r="AF19" i="246"/>
  <c r="AF52" i="246"/>
  <c r="AE19" i="246"/>
  <c r="AE52" i="246"/>
  <c r="AD19" i="246"/>
  <c r="AD52" i="246"/>
  <c r="AC19" i="246"/>
  <c r="AC52" i="246"/>
  <c r="R19" i="246"/>
  <c r="Q19" i="246"/>
  <c r="P19" i="246"/>
  <c r="O19" i="246"/>
  <c r="N19" i="246"/>
  <c r="M19" i="246"/>
  <c r="L19" i="246"/>
  <c r="K19" i="246"/>
  <c r="J19" i="246"/>
  <c r="I19" i="246"/>
  <c r="G19" i="246"/>
  <c r="F19" i="246"/>
  <c r="E19" i="246"/>
  <c r="D19" i="246"/>
  <c r="AR18" i="246"/>
  <c r="AR51" i="246"/>
  <c r="AQ18" i="246"/>
  <c r="AQ51" i="246"/>
  <c r="AO18" i="246"/>
  <c r="AO51" i="246"/>
  <c r="AN18" i="246"/>
  <c r="AN51" i="246"/>
  <c r="AM18" i="246"/>
  <c r="AM51" i="246"/>
  <c r="AL18" i="246"/>
  <c r="AL51" i="246"/>
  <c r="AK18" i="246"/>
  <c r="AK51" i="246"/>
  <c r="AH18" i="246"/>
  <c r="AH51" i="246"/>
  <c r="AG18" i="246"/>
  <c r="AG51" i="246"/>
  <c r="AF18" i="246"/>
  <c r="AF51" i="246"/>
  <c r="AE18" i="246"/>
  <c r="AE51" i="246"/>
  <c r="AD18" i="246"/>
  <c r="AD51" i="246"/>
  <c r="R18" i="246"/>
  <c r="Q18" i="246"/>
  <c r="P18" i="246"/>
  <c r="O18" i="246"/>
  <c r="N18" i="246"/>
  <c r="M18" i="246"/>
  <c r="L18" i="246"/>
  <c r="K18" i="246"/>
  <c r="J18" i="246"/>
  <c r="I18" i="246"/>
  <c r="H18" i="246"/>
  <c r="G18" i="246"/>
  <c r="F18" i="246"/>
  <c r="E18" i="246"/>
  <c r="D18" i="246"/>
  <c r="C18" i="246"/>
  <c r="AR17" i="246"/>
  <c r="AQ17" i="246"/>
  <c r="AP17" i="246"/>
  <c r="AO17" i="246"/>
  <c r="AN17" i="246"/>
  <c r="AM17" i="246"/>
  <c r="AL17" i="246"/>
  <c r="AK17" i="246"/>
  <c r="AJ17" i="246"/>
  <c r="AI17" i="246"/>
  <c r="AH17" i="246"/>
  <c r="AG17" i="246"/>
  <c r="AF17" i="246"/>
  <c r="AE17" i="246"/>
  <c r="AD17" i="246"/>
  <c r="AC17" i="246"/>
  <c r="AR16" i="246"/>
  <c r="AQ16" i="246"/>
  <c r="AP16" i="246"/>
  <c r="AO16" i="246"/>
  <c r="AN16" i="246"/>
  <c r="AM16" i="246"/>
  <c r="AL16" i="246"/>
  <c r="AK16" i="246"/>
  <c r="AJ16" i="246"/>
  <c r="AI16" i="246"/>
  <c r="AH16" i="246"/>
  <c r="AG16" i="246"/>
  <c r="AF16" i="246"/>
  <c r="AE16" i="246"/>
  <c r="AD16" i="246"/>
  <c r="AC16" i="246"/>
  <c r="R16" i="246"/>
  <c r="R17" i="246"/>
  <c r="Q16" i="246"/>
  <c r="Q17" i="246"/>
  <c r="P16" i="246"/>
  <c r="P17" i="246"/>
  <c r="O16" i="246"/>
  <c r="O17" i="246"/>
  <c r="N16" i="246"/>
  <c r="N17" i="246"/>
  <c r="M16" i="246"/>
  <c r="M17" i="246"/>
  <c r="L16" i="246"/>
  <c r="L17" i="246"/>
  <c r="K16" i="246"/>
  <c r="K17" i="246"/>
  <c r="J16" i="246"/>
  <c r="J17" i="246"/>
  <c r="I16" i="246"/>
  <c r="I17" i="246"/>
  <c r="H16" i="246"/>
  <c r="H17" i="246"/>
  <c r="G16" i="246"/>
  <c r="G17" i="246"/>
  <c r="F16" i="246"/>
  <c r="F17" i="246"/>
  <c r="E16" i="246"/>
  <c r="E17" i="246"/>
  <c r="D16" i="246"/>
  <c r="D17" i="246"/>
  <c r="C16" i="246"/>
  <c r="C17" i="246"/>
  <c r="AR15" i="246"/>
  <c r="AQ15" i="246"/>
  <c r="AP15" i="246"/>
  <c r="AO15" i="246"/>
  <c r="AN15" i="246"/>
  <c r="AM15" i="246"/>
  <c r="AL15" i="246"/>
  <c r="AK15" i="246"/>
  <c r="AJ15" i="246"/>
  <c r="AI15" i="246"/>
  <c r="AH15" i="246"/>
  <c r="AG15" i="246"/>
  <c r="AF15" i="246"/>
  <c r="AE15" i="246"/>
  <c r="AD15" i="246"/>
  <c r="AC15" i="246"/>
  <c r="R15" i="246"/>
  <c r="Q15" i="246"/>
  <c r="P15" i="246"/>
  <c r="O15" i="246"/>
  <c r="N15" i="246"/>
  <c r="M15" i="246"/>
  <c r="L15" i="246"/>
  <c r="K15" i="246"/>
  <c r="J15" i="246"/>
  <c r="I15" i="246"/>
  <c r="H15" i="246"/>
  <c r="G15" i="246"/>
  <c r="F15" i="246"/>
  <c r="E15" i="246"/>
  <c r="D15" i="246"/>
  <c r="C15" i="246"/>
  <c r="AR14" i="246"/>
  <c r="AQ14" i="246"/>
  <c r="AO14" i="246"/>
  <c r="AN14" i="246"/>
  <c r="AM14" i="246"/>
  <c r="AL14" i="246"/>
  <c r="AK14" i="246"/>
  <c r="AI14" i="246"/>
  <c r="AH14" i="246"/>
  <c r="AG14" i="246"/>
  <c r="AF14" i="246"/>
  <c r="AE14" i="246"/>
  <c r="AD14" i="246"/>
  <c r="AC14" i="246"/>
  <c r="R14" i="246"/>
  <c r="Q14" i="246"/>
  <c r="P14" i="246"/>
  <c r="O14" i="246"/>
  <c r="N14" i="246"/>
  <c r="M14" i="246"/>
  <c r="L14" i="246"/>
  <c r="K14" i="246"/>
  <c r="J14" i="246"/>
  <c r="I14" i="246"/>
  <c r="H14" i="246"/>
  <c r="G14" i="246"/>
  <c r="F14" i="246"/>
  <c r="E14" i="246"/>
  <c r="D14" i="246"/>
  <c r="C14" i="246"/>
  <c r="AR13" i="246"/>
  <c r="AQ13" i="246"/>
  <c r="AP13" i="246"/>
  <c r="AO13" i="246"/>
  <c r="AN13" i="246"/>
  <c r="AM13" i="246"/>
  <c r="AL13" i="246"/>
  <c r="AK13" i="246"/>
  <c r="AJ13" i="246"/>
  <c r="AI13" i="246"/>
  <c r="AH13" i="246"/>
  <c r="AG13" i="246"/>
  <c r="AF13" i="246"/>
  <c r="AE13" i="246"/>
  <c r="AD13" i="246"/>
  <c r="AC13" i="246"/>
  <c r="R13" i="246"/>
  <c r="Q13" i="246"/>
  <c r="P13" i="246"/>
  <c r="O13" i="246"/>
  <c r="N13" i="246"/>
  <c r="M13" i="246"/>
  <c r="L13" i="246"/>
  <c r="K13" i="246"/>
  <c r="J13" i="246"/>
  <c r="I13" i="246"/>
  <c r="H13" i="246"/>
  <c r="G13" i="246"/>
  <c r="F13" i="246"/>
  <c r="E13" i="246"/>
  <c r="D13" i="246"/>
  <c r="C13" i="246"/>
  <c r="AR12" i="246"/>
  <c r="AQ12" i="246"/>
  <c r="AO12" i="246"/>
  <c r="AN12" i="246"/>
  <c r="AM12" i="246"/>
  <c r="AL12" i="246"/>
  <c r="AK12" i="246"/>
  <c r="AI12" i="246"/>
  <c r="AH12" i="246"/>
  <c r="AG12" i="246"/>
  <c r="AF12" i="246"/>
  <c r="AE12" i="246"/>
  <c r="AD12" i="246"/>
  <c r="AC12" i="246"/>
  <c r="R12" i="246"/>
  <c r="Q12" i="246"/>
  <c r="P12" i="246"/>
  <c r="O12" i="246"/>
  <c r="N12" i="246"/>
  <c r="M12" i="246"/>
  <c r="L12" i="246"/>
  <c r="K12" i="246"/>
  <c r="J12" i="246"/>
  <c r="I12" i="246"/>
  <c r="H12" i="246"/>
  <c r="G12" i="246"/>
  <c r="F12" i="246"/>
  <c r="E12" i="246"/>
  <c r="D12" i="246"/>
  <c r="C12" i="246"/>
  <c r="AR11" i="246"/>
  <c r="AQ11" i="246"/>
  <c r="AP11" i="246"/>
  <c r="AO11" i="246"/>
  <c r="AN11" i="246"/>
  <c r="AM11" i="246"/>
  <c r="AL11" i="246"/>
  <c r="AK11" i="246"/>
  <c r="AJ11" i="246"/>
  <c r="AI11" i="246"/>
  <c r="AH11" i="246"/>
  <c r="AG11" i="246"/>
  <c r="AF11" i="246"/>
  <c r="AE11" i="246"/>
  <c r="AD11" i="246"/>
  <c r="AC11" i="246"/>
  <c r="R11" i="246"/>
  <c r="Q11" i="246"/>
  <c r="P11" i="246"/>
  <c r="O11" i="246"/>
  <c r="N11" i="246"/>
  <c r="M11" i="246"/>
  <c r="L11" i="246"/>
  <c r="K11" i="246"/>
  <c r="J11" i="246"/>
  <c r="I11" i="246"/>
  <c r="H11" i="246"/>
  <c r="G11" i="246"/>
  <c r="F11" i="246"/>
  <c r="E11" i="246"/>
  <c r="D11" i="246"/>
  <c r="C11" i="246"/>
  <c r="AR10" i="246"/>
  <c r="AQ10" i="246"/>
  <c r="AO10" i="246"/>
  <c r="AN10" i="246"/>
  <c r="AM10" i="246"/>
  <c r="AL10" i="246"/>
  <c r="AK10" i="246"/>
  <c r="AI10" i="246"/>
  <c r="AH10" i="246"/>
  <c r="AG10" i="246"/>
  <c r="AF10" i="246"/>
  <c r="AE10" i="246"/>
  <c r="AC10" i="246"/>
  <c r="R10" i="246"/>
  <c r="Q10" i="246"/>
  <c r="P10" i="246"/>
  <c r="O10" i="246"/>
  <c r="N10" i="246"/>
  <c r="M10" i="246"/>
  <c r="L10" i="246"/>
  <c r="K10" i="246"/>
  <c r="J10" i="246"/>
  <c r="I10" i="246"/>
  <c r="H10" i="246"/>
  <c r="G10" i="246"/>
  <c r="F10" i="246"/>
  <c r="E10" i="246"/>
  <c r="D10" i="246"/>
  <c r="C10" i="246"/>
  <c r="N28" i="176"/>
  <c r="L28" i="176"/>
  <c r="J28" i="176"/>
  <c r="G28" i="176"/>
  <c r="N27" i="176"/>
  <c r="L27" i="176"/>
  <c r="J27" i="176"/>
  <c r="G27" i="176"/>
  <c r="Y10" i="176"/>
  <c r="Y12" i="176"/>
  <c r="Y11" i="176"/>
  <c r="X11" i="176"/>
  <c r="I31" i="203"/>
  <c r="I30" i="203"/>
  <c r="I17" i="132"/>
  <c r="K6" i="238"/>
  <c r="S38" i="230"/>
  <c r="D72" i="136"/>
  <c r="F35" i="134"/>
  <c r="J25" i="241"/>
  <c r="E33" i="244"/>
  <c r="M9" i="239"/>
  <c r="U40" i="133"/>
  <c r="L79" i="168"/>
  <c r="E43" i="132"/>
  <c r="R51" i="167"/>
  <c r="J14" i="203"/>
  <c r="J13" i="203"/>
  <c r="J12" i="203"/>
  <c r="N64" i="245"/>
  <c r="M64" i="245"/>
  <c r="L64" i="245"/>
  <c r="K64" i="245"/>
  <c r="J47" i="245"/>
  <c r="M45" i="245"/>
  <c r="L45" i="245"/>
  <c r="K45" i="245"/>
  <c r="J45" i="245"/>
  <c r="N41" i="245"/>
  <c r="M41" i="245"/>
  <c r="L41" i="245"/>
  <c r="K41" i="245"/>
  <c r="J41" i="245"/>
  <c r="N40" i="245"/>
  <c r="M40" i="245"/>
  <c r="L40" i="245"/>
  <c r="K40" i="245"/>
  <c r="J40" i="245"/>
  <c r="J38" i="245"/>
  <c r="N37" i="245"/>
  <c r="M37" i="245"/>
  <c r="L37" i="245"/>
  <c r="K37" i="245"/>
  <c r="J37" i="245"/>
  <c r="N36" i="245"/>
  <c r="M36" i="245"/>
  <c r="L36" i="245"/>
  <c r="K36" i="245"/>
  <c r="J36" i="245"/>
  <c r="N35" i="245"/>
  <c r="M35" i="245"/>
  <c r="L35" i="245"/>
  <c r="K35" i="245"/>
  <c r="J35" i="245"/>
  <c r="N34" i="245"/>
  <c r="M34" i="245"/>
  <c r="L34" i="245"/>
  <c r="K34" i="245"/>
  <c r="J34" i="245"/>
  <c r="M32" i="245"/>
  <c r="N31" i="245"/>
  <c r="M31" i="245"/>
  <c r="L31" i="245"/>
  <c r="K31" i="245"/>
  <c r="J31" i="245"/>
  <c r="N30" i="245"/>
  <c r="M30" i="245"/>
  <c r="L30" i="245"/>
  <c r="K30" i="245"/>
  <c r="J30" i="245"/>
  <c r="N29" i="245"/>
  <c r="M29" i="245"/>
  <c r="L29" i="245"/>
  <c r="J29" i="245"/>
  <c r="N28" i="245"/>
  <c r="M28" i="245"/>
  <c r="L28" i="245"/>
  <c r="K28" i="245"/>
  <c r="J28" i="245"/>
  <c r="N27" i="245"/>
  <c r="M27" i="245"/>
  <c r="L27" i="245"/>
  <c r="K27" i="245"/>
  <c r="J27" i="245"/>
  <c r="N26" i="245"/>
  <c r="M26" i="245"/>
  <c r="L26" i="245"/>
  <c r="K26" i="245"/>
  <c r="J26" i="245"/>
  <c r="N25" i="245"/>
  <c r="M25" i="245"/>
  <c r="L25" i="245"/>
  <c r="K25" i="245"/>
  <c r="J25" i="245"/>
  <c r="K24" i="245"/>
  <c r="N22" i="245"/>
  <c r="M22" i="245"/>
  <c r="L22" i="245"/>
  <c r="K22" i="245"/>
  <c r="J22" i="245"/>
  <c r="N20" i="245"/>
  <c r="M20" i="245"/>
  <c r="L20" i="245"/>
  <c r="K20" i="245"/>
  <c r="J20" i="245"/>
  <c r="M19" i="245"/>
  <c r="K19" i="245"/>
  <c r="N18" i="245"/>
  <c r="M18" i="245"/>
  <c r="L18" i="245"/>
  <c r="K18" i="245"/>
  <c r="J18" i="245"/>
  <c r="N17" i="245"/>
  <c r="M17" i="245"/>
  <c r="L17" i="245"/>
  <c r="K17" i="245"/>
  <c r="J17" i="245"/>
  <c r="N16" i="245"/>
  <c r="M16" i="245"/>
  <c r="L16" i="245"/>
  <c r="K16" i="245"/>
  <c r="J16" i="245"/>
  <c r="N15" i="245"/>
  <c r="M15" i="245"/>
  <c r="L15" i="245"/>
  <c r="K15" i="245"/>
  <c r="J15" i="245"/>
  <c r="N14" i="245"/>
  <c r="M14" i="245"/>
  <c r="L14" i="245"/>
  <c r="K14" i="245"/>
  <c r="N13" i="245"/>
  <c r="M13" i="245"/>
  <c r="L13" i="245"/>
  <c r="J13" i="245"/>
  <c r="N12" i="245"/>
  <c r="M12" i="245"/>
  <c r="L12" i="245"/>
  <c r="K12" i="245"/>
  <c r="J12" i="245"/>
  <c r="N10" i="245"/>
  <c r="M10" i="245"/>
  <c r="L10" i="245"/>
  <c r="K10" i="245"/>
  <c r="J10" i="245"/>
  <c r="N9" i="245"/>
  <c r="M9" i="245"/>
  <c r="L9" i="245"/>
  <c r="K9" i="245"/>
  <c r="J9" i="245"/>
  <c r="N8" i="245"/>
  <c r="M8" i="245"/>
  <c r="L8" i="245"/>
  <c r="J8" i="245"/>
  <c r="N7" i="245"/>
  <c r="M7" i="245"/>
  <c r="L7" i="245"/>
  <c r="K7" i="245"/>
  <c r="J7" i="245"/>
  <c r="E34" i="244"/>
  <c r="E32" i="244"/>
  <c r="E31" i="244"/>
  <c r="L27" i="244"/>
  <c r="F27" i="244"/>
  <c r="E27" i="244"/>
  <c r="L26" i="244"/>
  <c r="F26" i="244"/>
  <c r="E26" i="244"/>
  <c r="L25" i="244"/>
  <c r="F25" i="244"/>
  <c r="E25" i="244"/>
  <c r="L24" i="244"/>
  <c r="F24" i="244"/>
  <c r="E24" i="244"/>
  <c r="E23" i="244"/>
  <c r="L22" i="244"/>
  <c r="E22" i="244"/>
  <c r="E21" i="244"/>
  <c r="L20" i="244"/>
  <c r="F20" i="244"/>
  <c r="E19" i="244"/>
  <c r="L18" i="244"/>
  <c r="F18" i="244"/>
  <c r="E18" i="244"/>
  <c r="E17" i="244"/>
  <c r="L16" i="244"/>
  <c r="F16" i="244"/>
  <c r="E16" i="244"/>
  <c r="F15" i="244"/>
  <c r="E15" i="244"/>
  <c r="L14" i="244"/>
  <c r="F14" i="244"/>
  <c r="E14" i="244"/>
  <c r="L13" i="244"/>
  <c r="F13" i="244"/>
  <c r="E13" i="244"/>
  <c r="L12" i="244"/>
  <c r="F12" i="244"/>
  <c r="E12" i="244"/>
  <c r="L11" i="244"/>
  <c r="F11" i="244"/>
  <c r="E11" i="244"/>
  <c r="L10" i="244"/>
  <c r="F10" i="244"/>
  <c r="E10" i="244"/>
  <c r="L9" i="244"/>
  <c r="E9" i="244"/>
  <c r="E8" i="244"/>
  <c r="L7" i="244"/>
  <c r="F7" i="244"/>
  <c r="O42" i="243"/>
  <c r="O41" i="243"/>
  <c r="G41" i="243"/>
  <c r="F41" i="243"/>
  <c r="O40" i="243"/>
  <c r="G40" i="243"/>
  <c r="F40" i="243"/>
  <c r="O39" i="243"/>
  <c r="G39" i="243"/>
  <c r="F39" i="243"/>
  <c r="P36" i="243"/>
  <c r="O36" i="243"/>
  <c r="H36" i="243"/>
  <c r="G36" i="243"/>
  <c r="P35" i="243"/>
  <c r="O35" i="243"/>
  <c r="H35" i="243"/>
  <c r="G35" i="243"/>
  <c r="A25" i="243"/>
  <c r="O22" i="243"/>
  <c r="G22" i="243"/>
  <c r="O21" i="243"/>
  <c r="G21" i="243"/>
  <c r="O20" i="243"/>
  <c r="G20" i="243"/>
  <c r="O19" i="243"/>
  <c r="G19" i="243"/>
  <c r="O18" i="243"/>
  <c r="G18" i="243"/>
  <c r="O17" i="243"/>
  <c r="G17" i="243"/>
  <c r="O16" i="243"/>
  <c r="G16" i="243"/>
  <c r="O15" i="243"/>
  <c r="G15" i="243"/>
  <c r="O14" i="243"/>
  <c r="G14" i="243"/>
  <c r="O13" i="243"/>
  <c r="G13" i="243"/>
  <c r="O12" i="243"/>
  <c r="G12" i="243"/>
  <c r="O11" i="243"/>
  <c r="G11" i="243"/>
  <c r="P8" i="243"/>
  <c r="O8" i="243"/>
  <c r="H8" i="243"/>
  <c r="G8" i="243"/>
  <c r="P7" i="243"/>
  <c r="O7" i="243"/>
  <c r="H7" i="243"/>
  <c r="G7" i="243"/>
  <c r="R35" i="168"/>
  <c r="Q35" i="168"/>
  <c r="P35" i="168"/>
  <c r="O35" i="168"/>
  <c r="N35" i="168"/>
  <c r="M35" i="168"/>
  <c r="L35" i="168"/>
  <c r="K35" i="168"/>
  <c r="J35" i="168"/>
  <c r="I35" i="168"/>
  <c r="H35" i="168"/>
  <c r="G35" i="168"/>
  <c r="G36" i="168"/>
  <c r="F35" i="168"/>
  <c r="E35" i="168"/>
  <c r="J26" i="241"/>
  <c r="J24" i="241"/>
  <c r="E24" i="241"/>
  <c r="J23" i="241"/>
  <c r="E23" i="241"/>
  <c r="E22" i="241"/>
  <c r="E20" i="241"/>
  <c r="K19" i="241"/>
  <c r="E19" i="241"/>
  <c r="K18" i="241"/>
  <c r="E18" i="241"/>
  <c r="K17" i="241"/>
  <c r="E17" i="241"/>
  <c r="K16" i="241"/>
  <c r="E16" i="241"/>
  <c r="K15" i="241"/>
  <c r="E15" i="241"/>
  <c r="K14" i="241"/>
  <c r="E14" i="241"/>
  <c r="K13" i="241"/>
  <c r="E13" i="241"/>
  <c r="K12" i="241"/>
  <c r="E12" i="241"/>
  <c r="K11" i="241"/>
  <c r="E11" i="241"/>
  <c r="K10" i="241"/>
  <c r="E10" i="241"/>
  <c r="K9" i="241"/>
  <c r="E9" i="241"/>
  <c r="K8" i="241"/>
  <c r="E8" i="241"/>
  <c r="K7" i="241"/>
  <c r="E7" i="241"/>
  <c r="K6" i="241"/>
  <c r="E6" i="241"/>
  <c r="C28" i="239"/>
  <c r="E27" i="239"/>
  <c r="D27" i="239"/>
  <c r="C27" i="239"/>
  <c r="E26" i="239"/>
  <c r="D26" i="239"/>
  <c r="C26" i="239"/>
  <c r="E25" i="239"/>
  <c r="D25" i="239"/>
  <c r="C25" i="239"/>
  <c r="E24" i="239"/>
  <c r="D24" i="239"/>
  <c r="C24" i="239"/>
  <c r="E23" i="239"/>
  <c r="D23" i="239"/>
  <c r="C23" i="239"/>
  <c r="E22" i="239"/>
  <c r="D22" i="239"/>
  <c r="C22" i="239"/>
  <c r="E21" i="239"/>
  <c r="D21" i="239"/>
  <c r="C21" i="239"/>
  <c r="E20" i="239"/>
  <c r="D20" i="239"/>
  <c r="C20" i="239"/>
  <c r="E19" i="239"/>
  <c r="D19" i="239"/>
  <c r="C19" i="239"/>
  <c r="E18" i="239"/>
  <c r="E17" i="239"/>
  <c r="D17" i="239"/>
  <c r="D16" i="239"/>
  <c r="C16" i="239"/>
  <c r="E15" i="239"/>
  <c r="D15" i="239"/>
  <c r="C15" i="239"/>
  <c r="E14" i="239"/>
  <c r="D14" i="239"/>
  <c r="C14" i="239"/>
  <c r="E12" i="239"/>
  <c r="D12" i="239"/>
  <c r="C12" i="239"/>
  <c r="E11" i="239"/>
  <c r="D11" i="239"/>
  <c r="C11" i="239"/>
  <c r="M10" i="239"/>
  <c r="E10" i="239"/>
  <c r="D10" i="239"/>
  <c r="C10" i="239"/>
  <c r="E9" i="239"/>
  <c r="D9" i="239"/>
  <c r="C9" i="239"/>
  <c r="M8" i="239"/>
  <c r="E8" i="239"/>
  <c r="D8" i="239"/>
  <c r="C8" i="239"/>
  <c r="M7" i="239"/>
  <c r="E7" i="239"/>
  <c r="D7" i="239"/>
  <c r="C7" i="239"/>
  <c r="E60" i="238"/>
  <c r="E58" i="238"/>
  <c r="D58" i="238"/>
  <c r="E56" i="238"/>
  <c r="D56" i="238"/>
  <c r="E55" i="238"/>
  <c r="D55" i="238"/>
  <c r="E54" i="238"/>
  <c r="D54" i="238"/>
  <c r="E53" i="238"/>
  <c r="D53" i="238"/>
  <c r="E52" i="238"/>
  <c r="D52" i="238"/>
  <c r="E50" i="238"/>
  <c r="D50" i="238"/>
  <c r="E49" i="238"/>
  <c r="D49" i="238"/>
  <c r="E48" i="238"/>
  <c r="D48" i="238"/>
  <c r="E47" i="238"/>
  <c r="D47" i="238"/>
  <c r="E46" i="238"/>
  <c r="D46" i="238"/>
  <c r="E44" i="238"/>
  <c r="D44" i="238"/>
  <c r="E43" i="238"/>
  <c r="D43" i="238"/>
  <c r="E42" i="238"/>
  <c r="D42" i="238"/>
  <c r="E41" i="238"/>
  <c r="D41" i="238"/>
  <c r="E40" i="238"/>
  <c r="D40" i="238"/>
  <c r="K39" i="238"/>
  <c r="E39" i="238"/>
  <c r="D39" i="238"/>
  <c r="E38" i="238"/>
  <c r="D38" i="238"/>
  <c r="K34" i="238"/>
  <c r="D34" i="238"/>
  <c r="K31" i="238"/>
  <c r="K30" i="238"/>
  <c r="D30" i="238"/>
  <c r="K29" i="238"/>
  <c r="D29" i="238"/>
  <c r="K28" i="238"/>
  <c r="D28" i="238"/>
  <c r="D27" i="238"/>
  <c r="K26" i="238"/>
  <c r="D26" i="238"/>
  <c r="K25" i="238"/>
  <c r="D25" i="238"/>
  <c r="K23" i="238"/>
  <c r="D23" i="238"/>
  <c r="D22" i="238"/>
  <c r="K21" i="238"/>
  <c r="D21" i="238"/>
  <c r="D20" i="238"/>
  <c r="K19" i="238"/>
  <c r="D19" i="238"/>
  <c r="K18" i="238"/>
  <c r="D18" i="238"/>
  <c r="K17" i="238"/>
  <c r="K16" i="238"/>
  <c r="D16" i="238"/>
  <c r="K15" i="238"/>
  <c r="D15" i="238"/>
  <c r="D14" i="238"/>
  <c r="D13" i="238"/>
  <c r="K12" i="238"/>
  <c r="D11" i="238"/>
  <c r="K10" i="238"/>
  <c r="D10" i="238"/>
  <c r="D9" i="238"/>
  <c r="K8" i="238"/>
  <c r="D8" i="238"/>
  <c r="K7" i="238"/>
  <c r="D7" i="238"/>
  <c r="D6" i="238"/>
  <c r="P13" i="222"/>
  <c r="G31" i="212"/>
  <c r="W50" i="134"/>
  <c r="W49" i="134"/>
  <c r="W47" i="134"/>
  <c r="W46" i="134"/>
  <c r="W45" i="134"/>
  <c r="W44" i="134"/>
  <c r="W41" i="134"/>
  <c r="W40" i="134"/>
  <c r="W39" i="134"/>
  <c r="W38" i="134"/>
  <c r="Q26" i="162"/>
  <c r="E53" i="132"/>
  <c r="R57" i="167"/>
  <c r="J12" i="167"/>
  <c r="I43" i="230"/>
  <c r="I42" i="230"/>
  <c r="I41" i="230"/>
  <c r="S40" i="230"/>
  <c r="I40" i="230"/>
  <c r="I39" i="230"/>
  <c r="I38" i="230"/>
  <c r="S37" i="230"/>
  <c r="I37" i="230"/>
  <c r="S36" i="230"/>
  <c r="I36" i="230"/>
  <c r="S35" i="230"/>
  <c r="I35" i="230"/>
  <c r="S33" i="230"/>
  <c r="I33" i="230"/>
  <c r="S31" i="230"/>
  <c r="S30" i="230"/>
  <c r="S29" i="230"/>
  <c r="S28" i="230"/>
  <c r="S26" i="230"/>
  <c r="S25" i="230"/>
  <c r="S24" i="230"/>
  <c r="I24" i="230"/>
  <c r="S23" i="230"/>
  <c r="I23" i="230"/>
  <c r="I22" i="230"/>
  <c r="S21" i="230"/>
  <c r="I21" i="230"/>
  <c r="I20" i="230"/>
  <c r="I19" i="230"/>
  <c r="S18" i="230"/>
  <c r="I18" i="230"/>
  <c r="I17" i="230"/>
  <c r="S16" i="230"/>
  <c r="I16" i="230"/>
  <c r="S14" i="230"/>
  <c r="I14" i="230"/>
  <c r="S13" i="230"/>
  <c r="I13" i="230"/>
  <c r="S12" i="230"/>
  <c r="I12" i="230"/>
  <c r="I11" i="230"/>
  <c r="S10" i="230"/>
  <c r="I10" i="230"/>
  <c r="I9" i="230"/>
  <c r="I8" i="230"/>
  <c r="S7" i="230"/>
  <c r="I7" i="230"/>
  <c r="S6" i="230"/>
  <c r="I6" i="230"/>
  <c r="W37" i="134"/>
  <c r="W36" i="134"/>
  <c r="W35" i="134"/>
  <c r="Q13" i="222"/>
  <c r="N10" i="222"/>
  <c r="N9" i="222"/>
  <c r="N8" i="222"/>
  <c r="N7" i="222"/>
  <c r="H34" i="218"/>
  <c r="K49" i="219"/>
  <c r="F39" i="223"/>
  <c r="F38" i="223"/>
  <c r="F35" i="223"/>
  <c r="F34" i="223"/>
  <c r="F33" i="223"/>
  <c r="F9" i="223"/>
  <c r="F8" i="223"/>
  <c r="F7" i="223"/>
  <c r="F6" i="223"/>
  <c r="P73" i="222"/>
  <c r="Q73" i="222"/>
  <c r="P72" i="222"/>
  <c r="Q72" i="222"/>
  <c r="P71" i="222"/>
  <c r="Q71" i="222"/>
  <c r="P70" i="222"/>
  <c r="Q70" i="222"/>
  <c r="P69" i="222"/>
  <c r="Q69" i="222"/>
  <c r="P68" i="222"/>
  <c r="Q68" i="222"/>
  <c r="P67" i="222"/>
  <c r="Q67" i="222"/>
  <c r="P66" i="222"/>
  <c r="Q66" i="222"/>
  <c r="P65" i="222"/>
  <c r="Q65" i="222"/>
  <c r="P64" i="222"/>
  <c r="N53" i="222"/>
  <c r="N52" i="222"/>
  <c r="N51" i="222"/>
  <c r="N50" i="222"/>
  <c r="N49" i="222"/>
  <c r="N48" i="222"/>
  <c r="Q47" i="222"/>
  <c r="Q46" i="222"/>
  <c r="N45" i="222"/>
  <c r="N44" i="222"/>
  <c r="N42" i="222"/>
  <c r="N41" i="222"/>
  <c r="P40" i="222"/>
  <c r="P39" i="222"/>
  <c r="N40" i="222"/>
  <c r="N39" i="222"/>
  <c r="P38" i="222"/>
  <c r="P37" i="222"/>
  <c r="N38" i="222"/>
  <c r="N37" i="222"/>
  <c r="P36" i="222"/>
  <c r="P35" i="222"/>
  <c r="N36" i="222"/>
  <c r="N35" i="222"/>
  <c r="P34" i="222"/>
  <c r="P33" i="222"/>
  <c r="N34" i="222"/>
  <c r="N33" i="222"/>
  <c r="N32" i="222"/>
  <c r="N31" i="222"/>
  <c r="Q30" i="222"/>
  <c r="Q29" i="222"/>
  <c r="P30" i="222"/>
  <c r="P29" i="222"/>
  <c r="N30" i="222"/>
  <c r="N29" i="222"/>
  <c r="Q28" i="222"/>
  <c r="Q27" i="222"/>
  <c r="P28" i="222"/>
  <c r="P27" i="222"/>
  <c r="N28" i="222"/>
  <c r="N27" i="222"/>
  <c r="P21" i="222"/>
  <c r="O19" i="222"/>
  <c r="Q15" i="222"/>
  <c r="P15" i="222"/>
  <c r="H7" i="212"/>
  <c r="F7" i="212"/>
  <c r="P7" i="212"/>
  <c r="Q7" i="212"/>
  <c r="P9" i="212"/>
  <c r="Q9" i="212"/>
  <c r="H10" i="212"/>
  <c r="F10" i="212"/>
  <c r="Q10" i="212"/>
  <c r="P12" i="212"/>
  <c r="Q12" i="212"/>
  <c r="H13" i="212"/>
  <c r="F13" i="212"/>
  <c r="G13" i="212"/>
  <c r="H14" i="212"/>
  <c r="F14" i="212"/>
  <c r="G14" i="212"/>
  <c r="P14" i="212"/>
  <c r="P15" i="212"/>
  <c r="P16" i="212"/>
  <c r="H17" i="212"/>
  <c r="F17" i="212"/>
  <c r="G17" i="212"/>
  <c r="P17" i="212"/>
  <c r="P18" i="212"/>
  <c r="H20" i="212"/>
  <c r="P21" i="212"/>
  <c r="P22" i="212"/>
  <c r="P25" i="212"/>
  <c r="Q25" i="212"/>
  <c r="G27" i="212"/>
  <c r="G28" i="212"/>
  <c r="P28" i="212"/>
  <c r="Q28" i="212"/>
  <c r="G29" i="212"/>
  <c r="G30" i="212"/>
  <c r="G38" i="212"/>
  <c r="G39" i="212"/>
  <c r="J7" i="217"/>
  <c r="H7" i="217"/>
  <c r="J8" i="217"/>
  <c r="H8" i="217"/>
  <c r="J9" i="217"/>
  <c r="H9" i="217"/>
  <c r="J10" i="217"/>
  <c r="H10" i="217"/>
  <c r="J11" i="217"/>
  <c r="H11" i="217"/>
  <c r="J12" i="217"/>
  <c r="H12" i="217"/>
  <c r="J13" i="217"/>
  <c r="H13" i="217"/>
  <c r="J14" i="217"/>
  <c r="H14" i="217"/>
  <c r="J15" i="217"/>
  <c r="H15" i="217"/>
  <c r="J16" i="217"/>
  <c r="H16" i="217"/>
  <c r="J17" i="217"/>
  <c r="H17" i="217"/>
  <c r="J18" i="217"/>
  <c r="H18" i="217"/>
  <c r="J20" i="217"/>
  <c r="H20" i="217"/>
  <c r="K20" i="217"/>
  <c r="I20" i="217"/>
  <c r="J21" i="217"/>
  <c r="H21" i="217"/>
  <c r="J22" i="217"/>
  <c r="H22" i="217"/>
  <c r="J23" i="217"/>
  <c r="H23" i="217"/>
  <c r="J24" i="217"/>
  <c r="H24" i="217"/>
  <c r="J25" i="217"/>
  <c r="H25" i="217"/>
  <c r="J26" i="217"/>
  <c r="H26" i="217"/>
  <c r="H27" i="217"/>
  <c r="J29" i="217"/>
  <c r="H29" i="217"/>
  <c r="K29" i="217"/>
  <c r="I29" i="217"/>
  <c r="J30" i="217"/>
  <c r="H30" i="217"/>
  <c r="J31" i="217"/>
  <c r="H31" i="217"/>
  <c r="J32" i="217"/>
  <c r="H32" i="217"/>
  <c r="J34" i="217"/>
  <c r="H34" i="217"/>
  <c r="K34" i="217"/>
  <c r="I34" i="217"/>
  <c r="J35" i="217"/>
  <c r="H35" i="217"/>
  <c r="K35" i="217"/>
  <c r="I35" i="217"/>
  <c r="J36" i="217"/>
  <c r="H36" i="217"/>
  <c r="J37" i="217"/>
  <c r="H37" i="217"/>
  <c r="J38" i="217"/>
  <c r="H38" i="217"/>
  <c r="J40" i="217"/>
  <c r="H40" i="217"/>
  <c r="J41" i="217"/>
  <c r="H41" i="217"/>
  <c r="J43" i="217"/>
  <c r="H43" i="217"/>
  <c r="J44" i="217"/>
  <c r="H44" i="217"/>
  <c r="J45" i="217"/>
  <c r="H45" i="217"/>
  <c r="J46" i="217"/>
  <c r="H46" i="217"/>
  <c r="J48" i="217"/>
  <c r="H48" i="217"/>
  <c r="J49" i="217"/>
  <c r="H49" i="217"/>
  <c r="J50" i="217"/>
  <c r="H50" i="217"/>
  <c r="J51" i="217"/>
  <c r="H51" i="217"/>
  <c r="J52" i="217"/>
  <c r="H52" i="217"/>
  <c r="J53" i="217"/>
  <c r="H53" i="217"/>
  <c r="J54" i="217"/>
  <c r="H54" i="217"/>
  <c r="J55" i="217"/>
  <c r="H55" i="217"/>
  <c r="J56" i="217"/>
  <c r="H56" i="217"/>
  <c r="J57" i="217"/>
  <c r="H57" i="217"/>
  <c r="J58" i="217"/>
  <c r="H58" i="217"/>
  <c r="J59" i="217"/>
  <c r="H59" i="217"/>
  <c r="H60" i="217"/>
  <c r="H61" i="217"/>
  <c r="G63" i="217"/>
  <c r="G64" i="217"/>
  <c r="L6" i="206"/>
  <c r="Y6" i="206"/>
  <c r="Y8" i="206"/>
  <c r="L10" i="206"/>
  <c r="Y10" i="206"/>
  <c r="L11" i="206"/>
  <c r="Y11" i="206"/>
  <c r="Y12" i="206"/>
  <c r="Y13" i="206"/>
  <c r="Y14" i="206"/>
  <c r="L15" i="206"/>
  <c r="L16" i="206"/>
  <c r="Y16" i="206"/>
  <c r="Y18" i="206"/>
  <c r="L20" i="206"/>
  <c r="Y20" i="206"/>
  <c r="L22" i="206"/>
  <c r="Y22" i="206"/>
  <c r="Y24" i="206"/>
  <c r="Y25" i="206"/>
  <c r="L26" i="206"/>
  <c r="Y26" i="206"/>
  <c r="L27" i="206"/>
  <c r="Y27" i="206"/>
  <c r="Y28" i="206"/>
  <c r="L32" i="206"/>
  <c r="L36" i="206"/>
  <c r="L37" i="206"/>
  <c r="F6" i="205"/>
  <c r="P6" i="205"/>
  <c r="F7" i="205"/>
  <c r="P7" i="205"/>
  <c r="F8" i="205"/>
  <c r="P8" i="205"/>
  <c r="F9" i="205"/>
  <c r="P9" i="205"/>
  <c r="F10" i="205"/>
  <c r="G14" i="205"/>
  <c r="P14" i="205"/>
  <c r="Q14" i="205"/>
  <c r="G16" i="205"/>
  <c r="P16" i="205"/>
  <c r="Q16" i="205"/>
  <c r="F17" i="205"/>
  <c r="G17" i="205"/>
  <c r="H17" i="205"/>
  <c r="I17" i="205"/>
  <c r="P17" i="205"/>
  <c r="Q17" i="205"/>
  <c r="R17" i="205"/>
  <c r="S17" i="205"/>
  <c r="G19" i="205"/>
  <c r="F22" i="205"/>
  <c r="R22" i="205"/>
  <c r="R23" i="205"/>
  <c r="R24" i="205"/>
  <c r="F25" i="205"/>
  <c r="R26" i="205"/>
  <c r="F28" i="205"/>
  <c r="F31" i="205"/>
  <c r="F33" i="205"/>
  <c r="F35" i="205"/>
  <c r="F37" i="205"/>
  <c r="E7" i="204"/>
  <c r="F7" i="204"/>
  <c r="O7" i="204"/>
  <c r="P7" i="204"/>
  <c r="O8" i="204"/>
  <c r="P8" i="204"/>
  <c r="I14" i="204"/>
  <c r="S14" i="204"/>
  <c r="S15" i="204"/>
  <c r="I16" i="204"/>
  <c r="S18" i="204"/>
  <c r="S19" i="204"/>
  <c r="I20" i="204"/>
  <c r="S21" i="204"/>
  <c r="S23" i="204"/>
  <c r="J6" i="203"/>
  <c r="J7" i="203"/>
  <c r="J11" i="203"/>
  <c r="J15" i="203"/>
  <c r="J18" i="203"/>
  <c r="J22" i="203"/>
  <c r="J24" i="203"/>
  <c r="J25" i="203"/>
  <c r="J26" i="203"/>
  <c r="I32" i="203"/>
  <c r="W16" i="202"/>
  <c r="W17" i="202"/>
  <c r="W18" i="202"/>
  <c r="W19" i="202"/>
  <c r="W20" i="202"/>
  <c r="W21" i="202"/>
  <c r="W22" i="202"/>
  <c r="W23" i="202"/>
  <c r="W24" i="202"/>
  <c r="W25" i="202"/>
  <c r="W26" i="202"/>
  <c r="W27" i="202"/>
  <c r="W28" i="202"/>
  <c r="W29" i="202"/>
  <c r="W30" i="202"/>
  <c r="W31" i="202"/>
  <c r="W32" i="202"/>
  <c r="W33" i="202"/>
  <c r="W34" i="202"/>
  <c r="W35" i="202"/>
  <c r="W36" i="202"/>
  <c r="W37" i="202"/>
  <c r="W38" i="202"/>
  <c r="W39" i="202"/>
  <c r="W40" i="202"/>
  <c r="W41" i="202"/>
  <c r="W42" i="202"/>
  <c r="W43" i="202"/>
  <c r="H7" i="200"/>
  <c r="I7" i="200"/>
  <c r="H8" i="200"/>
  <c r="I8" i="200"/>
  <c r="H9" i="200"/>
  <c r="I9" i="200"/>
  <c r="H11" i="200"/>
  <c r="I11" i="200"/>
  <c r="H12" i="200"/>
  <c r="I12" i="200"/>
  <c r="H13" i="200"/>
  <c r="I13" i="200"/>
  <c r="H14" i="200"/>
  <c r="I14" i="200"/>
  <c r="H15" i="200"/>
  <c r="I15" i="200"/>
  <c r="H16" i="200"/>
  <c r="I16" i="200"/>
  <c r="H17" i="200"/>
  <c r="I17" i="200"/>
  <c r="H18" i="200"/>
  <c r="I18" i="200"/>
  <c r="H19" i="200"/>
  <c r="I19" i="200"/>
  <c r="H20" i="200"/>
  <c r="I20" i="200"/>
  <c r="H21" i="200"/>
  <c r="I21" i="200"/>
  <c r="H22" i="200"/>
  <c r="I22" i="200"/>
  <c r="H23" i="200"/>
  <c r="I23" i="200"/>
  <c r="H24" i="200"/>
  <c r="I24" i="200"/>
  <c r="H25" i="200"/>
  <c r="I25" i="200"/>
  <c r="H26" i="200"/>
  <c r="I26" i="200"/>
  <c r="H27" i="200"/>
  <c r="I27" i="200"/>
  <c r="H28" i="200"/>
  <c r="I28" i="200"/>
  <c r="H29" i="200"/>
  <c r="I29" i="200"/>
  <c r="H30" i="200"/>
  <c r="I30" i="200"/>
  <c r="H31" i="200"/>
  <c r="I31" i="200"/>
  <c r="H32" i="200"/>
  <c r="I32" i="200"/>
  <c r="H33" i="200"/>
  <c r="I33" i="200"/>
  <c r="H34" i="200"/>
  <c r="I34" i="200"/>
  <c r="H35" i="200"/>
  <c r="I35" i="200"/>
  <c r="H36" i="200"/>
  <c r="I36" i="200"/>
  <c r="H37" i="200"/>
  <c r="I37" i="200"/>
  <c r="H38" i="200"/>
  <c r="I38" i="200"/>
  <c r="H39" i="200"/>
  <c r="I39" i="200"/>
  <c r="H40" i="200"/>
  <c r="I40" i="200"/>
  <c r="I43" i="200"/>
  <c r="I44" i="200"/>
  <c r="I45" i="200"/>
  <c r="I46" i="200"/>
  <c r="D11" i="136"/>
  <c r="E11" i="136"/>
  <c r="F11" i="136"/>
  <c r="G11" i="136"/>
  <c r="H11" i="136"/>
  <c r="I11" i="136"/>
  <c r="J11" i="136"/>
  <c r="K11" i="136"/>
  <c r="L11" i="136"/>
  <c r="M11" i="136"/>
  <c r="N11" i="136"/>
  <c r="O11" i="136"/>
  <c r="P11" i="136"/>
  <c r="Q11" i="136"/>
  <c r="R11" i="136"/>
  <c r="S11" i="136"/>
  <c r="W11" i="136"/>
  <c r="X11" i="136"/>
  <c r="Y11" i="136"/>
  <c r="Z11" i="136"/>
  <c r="D13" i="136"/>
  <c r="E13" i="136"/>
  <c r="F13" i="136"/>
  <c r="G13" i="136"/>
  <c r="H13" i="136"/>
  <c r="I13" i="136"/>
  <c r="J13" i="136"/>
  <c r="K13" i="136"/>
  <c r="L13" i="136"/>
  <c r="M13" i="136"/>
  <c r="N13" i="136"/>
  <c r="O13" i="136"/>
  <c r="P13" i="136"/>
  <c r="Q13" i="136"/>
  <c r="R13" i="136"/>
  <c r="S13" i="136"/>
  <c r="U13" i="136"/>
  <c r="V13" i="136"/>
  <c r="W13" i="136"/>
  <c r="X13" i="136"/>
  <c r="Y13" i="136"/>
  <c r="D14" i="136"/>
  <c r="E14" i="136"/>
  <c r="F14" i="136"/>
  <c r="G14" i="136"/>
  <c r="H14" i="136"/>
  <c r="I14" i="136"/>
  <c r="J14" i="136"/>
  <c r="K14" i="136"/>
  <c r="L14" i="136"/>
  <c r="M14" i="136"/>
  <c r="N14" i="136"/>
  <c r="O14" i="136"/>
  <c r="Q14" i="136"/>
  <c r="R14" i="136"/>
  <c r="S14" i="136"/>
  <c r="W14" i="136"/>
  <c r="D15" i="136"/>
  <c r="E15" i="136"/>
  <c r="F15" i="136"/>
  <c r="G15" i="136"/>
  <c r="H15" i="136"/>
  <c r="I15" i="136"/>
  <c r="J15" i="136"/>
  <c r="K15" i="136"/>
  <c r="L15" i="136"/>
  <c r="M15" i="136"/>
  <c r="N15" i="136"/>
  <c r="O15" i="136"/>
  <c r="P15" i="136"/>
  <c r="Q15" i="136"/>
  <c r="R15" i="136"/>
  <c r="S15" i="136"/>
  <c r="U15" i="136"/>
  <c r="V15" i="136"/>
  <c r="W15" i="136"/>
  <c r="X15" i="136"/>
  <c r="Y15" i="136"/>
  <c r="Z15" i="136"/>
  <c r="D16" i="136"/>
  <c r="E16" i="136"/>
  <c r="F16" i="136"/>
  <c r="G16" i="136"/>
  <c r="H16" i="136"/>
  <c r="I16" i="136"/>
  <c r="J16" i="136"/>
  <c r="K16" i="136"/>
  <c r="L16" i="136"/>
  <c r="M16" i="136"/>
  <c r="N16" i="136"/>
  <c r="O16" i="136"/>
  <c r="P16" i="136"/>
  <c r="Q16" i="136"/>
  <c r="R16" i="136"/>
  <c r="S16" i="136"/>
  <c r="U16" i="136"/>
  <c r="V16" i="136"/>
  <c r="W16" i="136"/>
  <c r="X16" i="136"/>
  <c r="Y16" i="136"/>
  <c r="Z16" i="136"/>
  <c r="D17" i="136"/>
  <c r="E17" i="136"/>
  <c r="F17" i="136"/>
  <c r="H17" i="136"/>
  <c r="I17" i="136"/>
  <c r="J17" i="136"/>
  <c r="K17" i="136"/>
  <c r="L17" i="136"/>
  <c r="M17" i="136"/>
  <c r="N17" i="136"/>
  <c r="O17" i="136"/>
  <c r="Q17" i="136"/>
  <c r="R17" i="136"/>
  <c r="S17" i="136"/>
  <c r="T17" i="136"/>
  <c r="U17" i="136"/>
  <c r="V17" i="136"/>
  <c r="W17" i="136"/>
  <c r="D18" i="136"/>
  <c r="E18" i="136"/>
  <c r="F18" i="136"/>
  <c r="H18" i="136"/>
  <c r="I18" i="136"/>
  <c r="J18" i="136"/>
  <c r="K18" i="136"/>
  <c r="L18" i="136"/>
  <c r="M18" i="136"/>
  <c r="N18" i="136"/>
  <c r="O18" i="136"/>
  <c r="R18" i="136"/>
  <c r="T18" i="136"/>
  <c r="U18" i="136"/>
  <c r="V18" i="136"/>
  <c r="T19" i="136"/>
  <c r="U19" i="136"/>
  <c r="V19" i="136"/>
  <c r="D21" i="136"/>
  <c r="E21" i="136"/>
  <c r="F21" i="136"/>
  <c r="G21" i="136"/>
  <c r="H21" i="136"/>
  <c r="I21" i="136"/>
  <c r="J21" i="136"/>
  <c r="K21" i="136"/>
  <c r="L21" i="136"/>
  <c r="M21" i="136"/>
  <c r="N21" i="136"/>
  <c r="O21" i="136"/>
  <c r="P21" i="136"/>
  <c r="Q21" i="136"/>
  <c r="R21" i="136"/>
  <c r="S21" i="136"/>
  <c r="T21" i="136"/>
  <c r="U21" i="136"/>
  <c r="V21" i="136"/>
  <c r="W21" i="136"/>
  <c r="X21" i="136"/>
  <c r="D23" i="136"/>
  <c r="E23" i="136"/>
  <c r="F23" i="136"/>
  <c r="G23" i="136"/>
  <c r="H23" i="136"/>
  <c r="I23" i="136"/>
  <c r="J23" i="136"/>
  <c r="K23" i="136"/>
  <c r="L23" i="136"/>
  <c r="M23" i="136"/>
  <c r="N23" i="136"/>
  <c r="O23" i="136"/>
  <c r="P23" i="136"/>
  <c r="Q23" i="136"/>
  <c r="R23" i="136"/>
  <c r="S23" i="136"/>
  <c r="W23" i="136"/>
  <c r="X23" i="136"/>
  <c r="D24" i="136"/>
  <c r="E24" i="136"/>
  <c r="F24" i="136"/>
  <c r="G24" i="136"/>
  <c r="H24" i="136"/>
  <c r="I24" i="136"/>
  <c r="J24" i="136"/>
  <c r="K24" i="136"/>
  <c r="L24" i="136"/>
  <c r="M24" i="136"/>
  <c r="N24" i="136"/>
  <c r="O24" i="136"/>
  <c r="P24" i="136"/>
  <c r="Q24" i="136"/>
  <c r="R24" i="136"/>
  <c r="S24" i="136"/>
  <c r="W24" i="136"/>
  <c r="X24" i="136"/>
  <c r="D25" i="136"/>
  <c r="J25" i="136"/>
  <c r="S25" i="136"/>
  <c r="W25" i="136"/>
  <c r="X25" i="136"/>
  <c r="D26" i="136"/>
  <c r="J26" i="136"/>
  <c r="S26" i="136"/>
  <c r="W26" i="136"/>
  <c r="X26" i="136"/>
  <c r="D27" i="136"/>
  <c r="J27" i="136"/>
  <c r="S27" i="136"/>
  <c r="W27" i="136"/>
  <c r="X27" i="136"/>
  <c r="D28" i="136"/>
  <c r="J28" i="136"/>
  <c r="S28" i="136"/>
  <c r="W28" i="136"/>
  <c r="X28" i="136"/>
  <c r="D33" i="136"/>
  <c r="E33" i="136"/>
  <c r="F33" i="136"/>
  <c r="G33" i="136"/>
  <c r="H33" i="136"/>
  <c r="I33" i="136"/>
  <c r="J33" i="136"/>
  <c r="K33" i="136"/>
  <c r="L33" i="136"/>
  <c r="M33" i="136"/>
  <c r="N33" i="136"/>
  <c r="O33" i="136"/>
  <c r="P33" i="136"/>
  <c r="Q33" i="136"/>
  <c r="R33" i="136"/>
  <c r="U33" i="136"/>
  <c r="S33" i="136"/>
  <c r="T33" i="136"/>
  <c r="D34" i="136"/>
  <c r="E34" i="136"/>
  <c r="G34" i="136"/>
  <c r="F34" i="136"/>
  <c r="H34" i="136"/>
  <c r="I34" i="136"/>
  <c r="J34" i="136"/>
  <c r="K34" i="136"/>
  <c r="L34" i="136"/>
  <c r="M34" i="136"/>
  <c r="N34" i="136"/>
  <c r="O34" i="136"/>
  <c r="P34" i="136"/>
  <c r="Q34" i="136"/>
  <c r="R34" i="136"/>
  <c r="U34" i="136"/>
  <c r="S34" i="136"/>
  <c r="T34" i="136"/>
  <c r="E35" i="136"/>
  <c r="F35" i="136"/>
  <c r="H35" i="136"/>
  <c r="I35" i="136"/>
  <c r="J35" i="136"/>
  <c r="K35" i="136"/>
  <c r="L35" i="136"/>
  <c r="M35" i="136"/>
  <c r="N35" i="136"/>
  <c r="O35" i="136"/>
  <c r="Q35" i="136"/>
  <c r="R35" i="136"/>
  <c r="U35" i="136"/>
  <c r="T35" i="136"/>
  <c r="D39" i="136"/>
  <c r="E39" i="136"/>
  <c r="G39" i="136"/>
  <c r="F39" i="136"/>
  <c r="H39" i="136"/>
  <c r="I39" i="136"/>
  <c r="J39" i="136"/>
  <c r="K39" i="136"/>
  <c r="L39" i="136"/>
  <c r="M39" i="136"/>
  <c r="N39" i="136"/>
  <c r="O39" i="136"/>
  <c r="P39" i="136"/>
  <c r="Q39" i="136"/>
  <c r="R39" i="136"/>
  <c r="U39" i="136"/>
  <c r="S39" i="136"/>
  <c r="T39" i="136"/>
  <c r="V39" i="136"/>
  <c r="X39" i="136"/>
  <c r="Z39" i="136"/>
  <c r="E44" i="136"/>
  <c r="F44" i="136"/>
  <c r="H44" i="136"/>
  <c r="I44" i="136"/>
  <c r="J45" i="136"/>
  <c r="L44" i="136"/>
  <c r="N44" i="136"/>
  <c r="R44" i="136"/>
  <c r="E51" i="136"/>
  <c r="E58" i="136"/>
  <c r="F51" i="136"/>
  <c r="F58" i="136"/>
  <c r="H51" i="136"/>
  <c r="H58" i="136"/>
  <c r="I51" i="136"/>
  <c r="I58" i="136"/>
  <c r="J51" i="136"/>
  <c r="J58" i="136"/>
  <c r="K51" i="136"/>
  <c r="K58" i="136"/>
  <c r="L51" i="136"/>
  <c r="L58" i="136"/>
  <c r="M51" i="136"/>
  <c r="M58" i="136"/>
  <c r="N51" i="136"/>
  <c r="N58" i="136"/>
  <c r="O51" i="136"/>
  <c r="O58" i="136"/>
  <c r="P51" i="136"/>
  <c r="P58" i="136"/>
  <c r="Q51" i="136"/>
  <c r="Q58" i="136"/>
  <c r="R51" i="136"/>
  <c r="S51" i="136"/>
  <c r="S58" i="136"/>
  <c r="V51" i="136"/>
  <c r="V58" i="136"/>
  <c r="E52" i="136"/>
  <c r="F52" i="136"/>
  <c r="F60" i="136"/>
  <c r="H52" i="136"/>
  <c r="I52" i="136"/>
  <c r="I60" i="136"/>
  <c r="J52" i="136"/>
  <c r="K52" i="136"/>
  <c r="K60" i="136"/>
  <c r="L52" i="136"/>
  <c r="M52" i="136"/>
  <c r="M53" i="136"/>
  <c r="N52" i="136"/>
  <c r="N59" i="136"/>
  <c r="O52" i="136"/>
  <c r="P52" i="136"/>
  <c r="Q52" i="136"/>
  <c r="Q53" i="136"/>
  <c r="R52" i="136"/>
  <c r="R53" i="136"/>
  <c r="V52" i="136"/>
  <c r="V60" i="136"/>
  <c r="E54" i="136"/>
  <c r="E55" i="136"/>
  <c r="E62" i="136"/>
  <c r="F54" i="136"/>
  <c r="H54" i="136"/>
  <c r="H55" i="136"/>
  <c r="H62" i="136"/>
  <c r="I54" i="136"/>
  <c r="J54" i="136"/>
  <c r="J55" i="136"/>
  <c r="J62" i="136"/>
  <c r="K54" i="136"/>
  <c r="K55" i="136"/>
  <c r="K62" i="136"/>
  <c r="L54" i="136"/>
  <c r="M54" i="136"/>
  <c r="M55" i="136"/>
  <c r="M62" i="136"/>
  <c r="N54" i="136"/>
  <c r="O54" i="136"/>
  <c r="O55" i="136"/>
  <c r="O62" i="136"/>
  <c r="P54" i="136"/>
  <c r="P55" i="136"/>
  <c r="P62" i="136"/>
  <c r="Q54" i="136"/>
  <c r="Q55" i="136"/>
  <c r="Q62" i="136"/>
  <c r="R54" i="136"/>
  <c r="S54" i="136"/>
  <c r="V54" i="136"/>
  <c r="V55" i="136"/>
  <c r="V62" i="136"/>
  <c r="D55" i="136"/>
  <c r="D62" i="136"/>
  <c r="C57" i="136"/>
  <c r="D58" i="136"/>
  <c r="D59" i="136"/>
  <c r="D60" i="136"/>
  <c r="D61" i="136"/>
  <c r="C64" i="136"/>
  <c r="D68" i="136"/>
  <c r="D71" i="136"/>
  <c r="D73" i="136"/>
  <c r="D74" i="136"/>
  <c r="D75" i="136"/>
  <c r="H76" i="136"/>
  <c r="D77" i="136"/>
  <c r="D78" i="136"/>
  <c r="D79" i="136"/>
  <c r="D80" i="136"/>
  <c r="D81" i="136"/>
  <c r="D82" i="136"/>
  <c r="D84" i="136"/>
  <c r="D90" i="136"/>
  <c r="H89" i="136"/>
  <c r="D91" i="136"/>
  <c r="F6" i="32"/>
  <c r="M6" i="32"/>
  <c r="F9" i="32"/>
  <c r="M9" i="32"/>
  <c r="F12" i="32"/>
  <c r="M12" i="32"/>
  <c r="F15" i="32"/>
  <c r="M15" i="32"/>
  <c r="F18" i="32"/>
  <c r="M18" i="32"/>
  <c r="F21" i="32"/>
  <c r="M21" i="32"/>
  <c r="F24" i="32"/>
  <c r="M24" i="32"/>
  <c r="M27" i="32"/>
  <c r="F29" i="32"/>
  <c r="M29" i="32"/>
  <c r="M31" i="32"/>
  <c r="F32" i="32"/>
  <c r="M34" i="32"/>
  <c r="F35" i="32"/>
  <c r="M37" i="32"/>
  <c r="F38" i="32"/>
  <c r="F41" i="32"/>
  <c r="M41" i="32"/>
  <c r="M48" i="32"/>
  <c r="G9" i="213"/>
  <c r="G10" i="213"/>
  <c r="H9" i="213"/>
  <c r="H10" i="213"/>
  <c r="I9" i="213"/>
  <c r="I10" i="213"/>
  <c r="J9" i="213"/>
  <c r="J10" i="213"/>
  <c r="K9" i="213"/>
  <c r="K10" i="213"/>
  <c r="L9" i="213"/>
  <c r="L10" i="213"/>
  <c r="M9" i="213"/>
  <c r="M10" i="213"/>
  <c r="N9" i="213"/>
  <c r="N10" i="213"/>
  <c r="P9" i="213"/>
  <c r="P10" i="213"/>
  <c r="Q9" i="213"/>
  <c r="Q10" i="213"/>
  <c r="R9" i="213"/>
  <c r="R10" i="213"/>
  <c r="T9" i="213"/>
  <c r="T10" i="213"/>
  <c r="U9" i="213"/>
  <c r="U10" i="213"/>
  <c r="V9" i="213"/>
  <c r="V10" i="213"/>
  <c r="W9" i="213"/>
  <c r="W10" i="213"/>
  <c r="X9" i="213"/>
  <c r="X10" i="213"/>
  <c r="Y9" i="213"/>
  <c r="Y10" i="213"/>
  <c r="G11" i="213"/>
  <c r="G12" i="213"/>
  <c r="H11" i="213"/>
  <c r="H12" i="213"/>
  <c r="I11" i="213"/>
  <c r="I12" i="213"/>
  <c r="J11" i="213"/>
  <c r="J12" i="213"/>
  <c r="K11" i="213"/>
  <c r="K12" i="213"/>
  <c r="L11" i="213"/>
  <c r="L12" i="213"/>
  <c r="M11" i="213"/>
  <c r="M12" i="213"/>
  <c r="N11" i="213"/>
  <c r="N12" i="213"/>
  <c r="P11" i="213"/>
  <c r="P12" i="213"/>
  <c r="Q11" i="213"/>
  <c r="Q12" i="213"/>
  <c r="R11" i="213"/>
  <c r="R12" i="213"/>
  <c r="T11" i="213"/>
  <c r="T12" i="213"/>
  <c r="U11" i="213"/>
  <c r="U12" i="213"/>
  <c r="V11" i="213"/>
  <c r="V12" i="213"/>
  <c r="W11" i="213"/>
  <c r="W12" i="213"/>
  <c r="X11" i="213"/>
  <c r="X12" i="213"/>
  <c r="Y11" i="213"/>
  <c r="Y12" i="213"/>
  <c r="O12" i="213"/>
  <c r="I13" i="213"/>
  <c r="I14" i="213"/>
  <c r="Z15" i="213"/>
  <c r="Z16" i="213"/>
  <c r="AA15" i="213"/>
  <c r="AA16" i="213"/>
  <c r="AB15" i="213"/>
  <c r="AB16" i="213"/>
  <c r="AC15" i="213"/>
  <c r="AC16" i="213"/>
  <c r="AD16" i="213"/>
  <c r="H17" i="213"/>
  <c r="H18" i="213"/>
  <c r="I17" i="213"/>
  <c r="I18" i="213"/>
  <c r="P17" i="213"/>
  <c r="P18" i="213"/>
  <c r="Q17" i="213"/>
  <c r="Q18" i="213"/>
  <c r="T17" i="213"/>
  <c r="T18" i="213"/>
  <c r="U17" i="213"/>
  <c r="U18" i="213"/>
  <c r="V17" i="213"/>
  <c r="V18" i="213"/>
  <c r="W17" i="213"/>
  <c r="W18" i="213"/>
  <c r="X17" i="213"/>
  <c r="X18" i="213"/>
  <c r="Y17" i="213"/>
  <c r="Y18" i="213"/>
  <c r="G19" i="213"/>
  <c r="H19" i="213"/>
  <c r="I19" i="213"/>
  <c r="J19" i="213"/>
  <c r="G20" i="213"/>
  <c r="H20" i="213"/>
  <c r="I20" i="213"/>
  <c r="J20" i="213"/>
  <c r="T21" i="213"/>
  <c r="V21" i="213"/>
  <c r="W21" i="213"/>
  <c r="X21" i="213"/>
  <c r="T22" i="213"/>
  <c r="V22" i="213"/>
  <c r="W22" i="213"/>
  <c r="X22" i="213"/>
  <c r="G32" i="213"/>
  <c r="H32" i="213"/>
  <c r="I32" i="213"/>
  <c r="J32" i="213"/>
  <c r="K32" i="213"/>
  <c r="L32" i="213"/>
  <c r="M32" i="213"/>
  <c r="N32" i="213"/>
  <c r="P32" i="213"/>
  <c r="Q32" i="213"/>
  <c r="R32" i="213"/>
  <c r="S32" i="213"/>
  <c r="T32" i="213"/>
  <c r="U32" i="213"/>
  <c r="V32" i="213"/>
  <c r="W32" i="213"/>
  <c r="X32" i="213"/>
  <c r="Y32" i="213"/>
  <c r="G33" i="213"/>
  <c r="H33" i="213"/>
  <c r="I33" i="213"/>
  <c r="J33" i="213"/>
  <c r="K33" i="213"/>
  <c r="L33" i="213"/>
  <c r="M33" i="213"/>
  <c r="N33" i="213"/>
  <c r="P33" i="213"/>
  <c r="Q33" i="213"/>
  <c r="R33" i="213"/>
  <c r="S33" i="213"/>
  <c r="T33" i="213"/>
  <c r="U33" i="213"/>
  <c r="V33" i="213"/>
  <c r="W33" i="213"/>
  <c r="X33" i="213"/>
  <c r="Y33" i="213"/>
  <c r="G34" i="213"/>
  <c r="S34" i="213"/>
  <c r="G35" i="213"/>
  <c r="H35" i="213"/>
  <c r="I35" i="213"/>
  <c r="J35" i="213"/>
  <c r="K35" i="213"/>
  <c r="L35" i="213"/>
  <c r="M35" i="213"/>
  <c r="N35" i="213"/>
  <c r="P35" i="213"/>
  <c r="Q35" i="213"/>
  <c r="R35" i="213"/>
  <c r="S35" i="213"/>
  <c r="T35" i="213"/>
  <c r="U35" i="213"/>
  <c r="G36" i="213"/>
  <c r="G37" i="213"/>
  <c r="H37" i="213"/>
  <c r="I37" i="213"/>
  <c r="J37" i="213"/>
  <c r="K37" i="213"/>
  <c r="L37" i="213"/>
  <c r="M37" i="213"/>
  <c r="N37" i="213"/>
  <c r="P37" i="213"/>
  <c r="Q37" i="213"/>
  <c r="R37" i="213"/>
  <c r="S37" i="213"/>
  <c r="T37" i="213"/>
  <c r="U37" i="213"/>
  <c r="V37" i="213"/>
  <c r="W37" i="213"/>
  <c r="X37" i="213"/>
  <c r="Y37" i="213"/>
  <c r="G38" i="213"/>
  <c r="S38" i="213"/>
  <c r="G39" i="213"/>
  <c r="H39" i="213"/>
  <c r="I39" i="213"/>
  <c r="J39" i="213"/>
  <c r="K39" i="213"/>
  <c r="L39" i="213"/>
  <c r="M39" i="213"/>
  <c r="N39" i="213"/>
  <c r="P39" i="213"/>
  <c r="Q39" i="213"/>
  <c r="R39" i="213"/>
  <c r="S39" i="213"/>
  <c r="T39" i="213"/>
  <c r="U39" i="213"/>
  <c r="G40" i="213"/>
  <c r="H40" i="213"/>
  <c r="I40" i="213"/>
  <c r="J40" i="213"/>
  <c r="G41" i="213"/>
  <c r="S41" i="213"/>
  <c r="T41" i="213"/>
  <c r="G42" i="213"/>
  <c r="S42" i="213"/>
  <c r="T42" i="213"/>
  <c r="U42" i="213"/>
  <c r="G43" i="213"/>
  <c r="S43" i="213"/>
  <c r="T43" i="213"/>
  <c r="U43" i="213"/>
  <c r="G44" i="213"/>
  <c r="S44" i="213"/>
  <c r="G45" i="213"/>
  <c r="F50" i="213"/>
  <c r="H50" i="213"/>
  <c r="AC50" i="213"/>
  <c r="F51" i="213"/>
  <c r="H51" i="213"/>
  <c r="AC51" i="213"/>
  <c r="F52" i="213"/>
  <c r="H52" i="213"/>
  <c r="AC52" i="213"/>
  <c r="F53" i="213"/>
  <c r="H53" i="213"/>
  <c r="AC53" i="213"/>
  <c r="F54" i="213"/>
  <c r="H54" i="213"/>
  <c r="AC54" i="213"/>
  <c r="F55" i="213"/>
  <c r="H55" i="213"/>
  <c r="AC55" i="213"/>
  <c r="F56" i="213"/>
  <c r="H56" i="213"/>
  <c r="AC56" i="213"/>
  <c r="F57" i="213"/>
  <c r="H57" i="213"/>
  <c r="AC57" i="213"/>
  <c r="F58" i="213"/>
  <c r="H58" i="213"/>
  <c r="C8" i="169"/>
  <c r="C9" i="169"/>
  <c r="D8" i="169"/>
  <c r="E8" i="169"/>
  <c r="F8" i="169"/>
  <c r="F9" i="169"/>
  <c r="G8" i="169"/>
  <c r="G9" i="169"/>
  <c r="H8" i="169"/>
  <c r="I8" i="169"/>
  <c r="J8" i="169"/>
  <c r="J9" i="169"/>
  <c r="K8" i="169"/>
  <c r="K9" i="169"/>
  <c r="L8" i="169"/>
  <c r="M8" i="169"/>
  <c r="N8" i="169"/>
  <c r="N9" i="169"/>
  <c r="O8" i="169"/>
  <c r="O9" i="169"/>
  <c r="P8" i="169"/>
  <c r="Q8" i="169"/>
  <c r="U8" i="169"/>
  <c r="V8" i="169"/>
  <c r="W8" i="169"/>
  <c r="X8" i="169"/>
  <c r="Y8" i="169"/>
  <c r="Z8" i="169"/>
  <c r="AA8" i="169"/>
  <c r="AB8" i="169"/>
  <c r="AC8" i="169"/>
  <c r="AD8" i="169"/>
  <c r="AE8" i="169"/>
  <c r="AF8" i="169"/>
  <c r="AG8" i="169"/>
  <c r="AH8" i="169"/>
  <c r="AI8" i="169"/>
  <c r="D9" i="169"/>
  <c r="E9" i="169"/>
  <c r="H9" i="169"/>
  <c r="I9" i="169"/>
  <c r="L9" i="169"/>
  <c r="M9" i="169"/>
  <c r="P9" i="169"/>
  <c r="Q9" i="169"/>
  <c r="U9" i="169"/>
  <c r="V9" i="169"/>
  <c r="W9" i="169"/>
  <c r="X9" i="169"/>
  <c r="Y9" i="169"/>
  <c r="Z9" i="169"/>
  <c r="AA9" i="169"/>
  <c r="AB9" i="169"/>
  <c r="AC9" i="169"/>
  <c r="AD9" i="169"/>
  <c r="AE9" i="169"/>
  <c r="AF9" i="169"/>
  <c r="AG9" i="169"/>
  <c r="AH9" i="169"/>
  <c r="AI9" i="169"/>
  <c r="C10" i="169"/>
  <c r="D10" i="169"/>
  <c r="E10" i="169"/>
  <c r="F10" i="169"/>
  <c r="G10" i="169"/>
  <c r="H10" i="169"/>
  <c r="I10" i="169"/>
  <c r="J10" i="169"/>
  <c r="K10" i="169"/>
  <c r="L10" i="169"/>
  <c r="M10" i="169"/>
  <c r="N10" i="169"/>
  <c r="O10" i="169"/>
  <c r="P10" i="169"/>
  <c r="Q10" i="169"/>
  <c r="U10" i="169"/>
  <c r="V10" i="169"/>
  <c r="W10" i="169"/>
  <c r="X10" i="169"/>
  <c r="Y10" i="169"/>
  <c r="Z10" i="169"/>
  <c r="AA10" i="169"/>
  <c r="AB10" i="169"/>
  <c r="AC10" i="169"/>
  <c r="AD10" i="169"/>
  <c r="AE10" i="169"/>
  <c r="AF10" i="169"/>
  <c r="AG10" i="169"/>
  <c r="AH10" i="169"/>
  <c r="AI10" i="169"/>
  <c r="C11" i="169"/>
  <c r="D11" i="169"/>
  <c r="E11" i="169"/>
  <c r="F11" i="169"/>
  <c r="G11" i="169"/>
  <c r="H11" i="169"/>
  <c r="I11" i="169"/>
  <c r="J11" i="169"/>
  <c r="K11" i="169"/>
  <c r="L11" i="169"/>
  <c r="M11" i="169"/>
  <c r="N11" i="169"/>
  <c r="O11" i="169"/>
  <c r="P11" i="169"/>
  <c r="Q11" i="169"/>
  <c r="U11" i="169"/>
  <c r="V11" i="169"/>
  <c r="W11" i="169"/>
  <c r="X11" i="169"/>
  <c r="Y11" i="169"/>
  <c r="Z11" i="169"/>
  <c r="AA11" i="169"/>
  <c r="AB11" i="169"/>
  <c r="AC11" i="169"/>
  <c r="AD11" i="169"/>
  <c r="AE11" i="169"/>
  <c r="AF11" i="169"/>
  <c r="AG11" i="169"/>
  <c r="AH11" i="169"/>
  <c r="AI11" i="169"/>
  <c r="C12" i="169"/>
  <c r="D12" i="169"/>
  <c r="E12" i="169"/>
  <c r="F12" i="169"/>
  <c r="G12" i="169"/>
  <c r="H12" i="169"/>
  <c r="I12" i="169"/>
  <c r="J12" i="169"/>
  <c r="K12" i="169"/>
  <c r="L12" i="169"/>
  <c r="M12" i="169"/>
  <c r="N12" i="169"/>
  <c r="O12" i="169"/>
  <c r="P12" i="169"/>
  <c r="Q12" i="169"/>
  <c r="U12" i="169"/>
  <c r="V12" i="169"/>
  <c r="W12" i="169"/>
  <c r="X12" i="169"/>
  <c r="Y12" i="169"/>
  <c r="Z12" i="169"/>
  <c r="AA12" i="169"/>
  <c r="AB12" i="169"/>
  <c r="AC12" i="169"/>
  <c r="AD12" i="169"/>
  <c r="AE12" i="169"/>
  <c r="AF12" i="169"/>
  <c r="AG12" i="169"/>
  <c r="AH12" i="169"/>
  <c r="AI12" i="169"/>
  <c r="C13" i="169"/>
  <c r="D13" i="169"/>
  <c r="E13" i="169"/>
  <c r="F13" i="169"/>
  <c r="G13" i="169"/>
  <c r="H13" i="169"/>
  <c r="I13" i="169"/>
  <c r="J13" i="169"/>
  <c r="K13" i="169"/>
  <c r="L13" i="169"/>
  <c r="M13" i="169"/>
  <c r="N13" i="169"/>
  <c r="O13" i="169"/>
  <c r="P13" i="169"/>
  <c r="Q13" i="169"/>
  <c r="U13" i="169"/>
  <c r="V13" i="169"/>
  <c r="W13" i="169"/>
  <c r="X13" i="169"/>
  <c r="Y13" i="169"/>
  <c r="Z13" i="169"/>
  <c r="AA13" i="169"/>
  <c r="AB13" i="169"/>
  <c r="AC13" i="169"/>
  <c r="AD13" i="169"/>
  <c r="AE13" i="169"/>
  <c r="AF13" i="169"/>
  <c r="AG13" i="169"/>
  <c r="AH13" i="169"/>
  <c r="AI13" i="169"/>
  <c r="C14" i="169"/>
  <c r="D14" i="169"/>
  <c r="D15" i="169"/>
  <c r="E14" i="169"/>
  <c r="E15" i="169"/>
  <c r="F14" i="169"/>
  <c r="F15" i="169"/>
  <c r="G14" i="169"/>
  <c r="G15" i="169"/>
  <c r="H14" i="169"/>
  <c r="H15" i="169"/>
  <c r="I14" i="169"/>
  <c r="I15" i="169"/>
  <c r="J14" i="169"/>
  <c r="J15" i="169"/>
  <c r="K14" i="169"/>
  <c r="K15" i="169"/>
  <c r="L14" i="169"/>
  <c r="L15" i="169"/>
  <c r="M14" i="169"/>
  <c r="M15" i="169"/>
  <c r="N14" i="169"/>
  <c r="N15" i="169"/>
  <c r="O14" i="169"/>
  <c r="O15" i="169"/>
  <c r="P14" i="169"/>
  <c r="P15" i="169"/>
  <c r="Q14" i="169"/>
  <c r="Q15" i="169"/>
  <c r="U14" i="169"/>
  <c r="U17" i="169"/>
  <c r="V14" i="169"/>
  <c r="V32" i="169"/>
  <c r="W14" i="169"/>
  <c r="W17" i="169"/>
  <c r="X14" i="169"/>
  <c r="X32" i="169"/>
  <c r="Y14" i="169"/>
  <c r="Y17" i="169"/>
  <c r="Z14" i="169"/>
  <c r="Z32" i="169"/>
  <c r="AA14" i="169"/>
  <c r="AA19" i="169"/>
  <c r="AB14" i="169"/>
  <c r="AB32" i="169"/>
  <c r="AC14" i="169"/>
  <c r="AC17" i="169"/>
  <c r="AD14" i="169"/>
  <c r="AD32" i="169"/>
  <c r="AE14" i="169"/>
  <c r="AE17" i="169"/>
  <c r="AF14" i="169"/>
  <c r="AF32" i="169"/>
  <c r="AG14" i="169"/>
  <c r="AG17" i="169"/>
  <c r="AH14" i="169"/>
  <c r="AH32" i="169"/>
  <c r="AI14" i="169"/>
  <c r="AI17" i="169"/>
  <c r="C15" i="169"/>
  <c r="U15" i="169"/>
  <c r="V15" i="169"/>
  <c r="W15" i="169"/>
  <c r="X15" i="169"/>
  <c r="Y15" i="169"/>
  <c r="Z15" i="169"/>
  <c r="AA15" i="169"/>
  <c r="AB15" i="169"/>
  <c r="AC15" i="169"/>
  <c r="AD15" i="169"/>
  <c r="AE15" i="169"/>
  <c r="AF15" i="169"/>
  <c r="AG15" i="169"/>
  <c r="AH15" i="169"/>
  <c r="AI15" i="169"/>
  <c r="U16" i="169"/>
  <c r="U21" i="169"/>
  <c r="V16" i="169"/>
  <c r="W16" i="169"/>
  <c r="W21" i="169"/>
  <c r="X16" i="169"/>
  <c r="X18" i="169"/>
  <c r="Y16" i="169"/>
  <c r="Y21" i="169"/>
  <c r="Z16" i="169"/>
  <c r="AA16" i="169"/>
  <c r="AA21" i="169"/>
  <c r="AB16" i="169"/>
  <c r="AB18" i="169"/>
  <c r="AC16" i="169"/>
  <c r="AC21" i="169"/>
  <c r="AD16" i="169"/>
  <c r="AE16" i="169"/>
  <c r="AE21" i="169"/>
  <c r="AF16" i="169"/>
  <c r="AF21" i="169"/>
  <c r="AG16" i="169"/>
  <c r="AG21" i="169"/>
  <c r="AH16" i="169"/>
  <c r="AI16" i="169"/>
  <c r="AI21" i="169"/>
  <c r="C17" i="169"/>
  <c r="D17" i="169"/>
  <c r="E17" i="169"/>
  <c r="F17" i="169"/>
  <c r="G17" i="169"/>
  <c r="H17" i="169"/>
  <c r="I17" i="169"/>
  <c r="J17" i="169"/>
  <c r="K17" i="169"/>
  <c r="L17" i="169"/>
  <c r="M17" i="169"/>
  <c r="O17" i="169"/>
  <c r="P17" i="169"/>
  <c r="Q17" i="169"/>
  <c r="AF17" i="169"/>
  <c r="C18" i="169"/>
  <c r="D18" i="169"/>
  <c r="E18" i="169"/>
  <c r="F18" i="169"/>
  <c r="G18" i="169"/>
  <c r="H18" i="169"/>
  <c r="I18" i="169"/>
  <c r="J18" i="169"/>
  <c r="K18" i="169"/>
  <c r="L18" i="169"/>
  <c r="M18" i="169"/>
  <c r="O18" i="169"/>
  <c r="P18" i="169"/>
  <c r="Q18" i="169"/>
  <c r="C19" i="169"/>
  <c r="D19" i="169"/>
  <c r="E19" i="169"/>
  <c r="F19" i="169"/>
  <c r="G19" i="169"/>
  <c r="H19" i="169"/>
  <c r="I19" i="169"/>
  <c r="J19" i="169"/>
  <c r="K19" i="169"/>
  <c r="L19" i="169"/>
  <c r="M19" i="169"/>
  <c r="O19" i="169"/>
  <c r="P19" i="169"/>
  <c r="Q19" i="169"/>
  <c r="AF19" i="169"/>
  <c r="C20" i="169"/>
  <c r="D20" i="169"/>
  <c r="E20" i="169"/>
  <c r="F20" i="169"/>
  <c r="G20" i="169"/>
  <c r="H20" i="169"/>
  <c r="I20" i="169"/>
  <c r="J20" i="169"/>
  <c r="K20" i="169"/>
  <c r="L20" i="169"/>
  <c r="M20" i="169"/>
  <c r="O20" i="169"/>
  <c r="P20" i="169"/>
  <c r="Q20" i="169"/>
  <c r="U20" i="169"/>
  <c r="U22" i="169"/>
  <c r="U23" i="169"/>
  <c r="V20" i="169"/>
  <c r="V23" i="169"/>
  <c r="W20" i="169"/>
  <c r="W23" i="169"/>
  <c r="X20" i="169"/>
  <c r="X23" i="169"/>
  <c r="Y20" i="169"/>
  <c r="Y23" i="169"/>
  <c r="Z20" i="169"/>
  <c r="AA20" i="169"/>
  <c r="AA23" i="169"/>
  <c r="AB20" i="169"/>
  <c r="AB23" i="169"/>
  <c r="AC20" i="169"/>
  <c r="AC23" i="169"/>
  <c r="AD20" i="169"/>
  <c r="AD23" i="169"/>
  <c r="AE20" i="169"/>
  <c r="AE23" i="169"/>
  <c r="AF20" i="169"/>
  <c r="AF23" i="169"/>
  <c r="AG20" i="169"/>
  <c r="AG23" i="169"/>
  <c r="AH20" i="169"/>
  <c r="AI20" i="169"/>
  <c r="AI23" i="169"/>
  <c r="C21" i="169"/>
  <c r="D21" i="169"/>
  <c r="E21" i="169"/>
  <c r="F21" i="169"/>
  <c r="G21" i="169"/>
  <c r="H21" i="169"/>
  <c r="I21" i="169"/>
  <c r="J21" i="169"/>
  <c r="K21" i="169"/>
  <c r="L21" i="169"/>
  <c r="M21" i="169"/>
  <c r="O21" i="169"/>
  <c r="P21" i="169"/>
  <c r="Q21" i="169"/>
  <c r="C22" i="169"/>
  <c r="D22" i="169"/>
  <c r="E22" i="169"/>
  <c r="F22" i="169"/>
  <c r="G22" i="169"/>
  <c r="H22" i="169"/>
  <c r="I22" i="169"/>
  <c r="J22" i="169"/>
  <c r="K22" i="169"/>
  <c r="L22" i="169"/>
  <c r="M22" i="169"/>
  <c r="O22" i="169"/>
  <c r="P22" i="169"/>
  <c r="Q22" i="169"/>
  <c r="C23" i="169"/>
  <c r="C25" i="169"/>
  <c r="D23" i="169"/>
  <c r="D24" i="169"/>
  <c r="E23" i="169"/>
  <c r="E24" i="169"/>
  <c r="F23" i="169"/>
  <c r="F24" i="169"/>
  <c r="G23" i="169"/>
  <c r="G25" i="169"/>
  <c r="H23" i="169"/>
  <c r="H24" i="169"/>
  <c r="I23" i="169"/>
  <c r="J23" i="169"/>
  <c r="J24" i="169"/>
  <c r="K23" i="169"/>
  <c r="K24" i="169"/>
  <c r="L23" i="169"/>
  <c r="L24" i="169"/>
  <c r="M23" i="169"/>
  <c r="M24" i="169"/>
  <c r="O23" i="169"/>
  <c r="P23" i="169"/>
  <c r="P24" i="169"/>
  <c r="Q23" i="169"/>
  <c r="Q24" i="169"/>
  <c r="N24" i="169"/>
  <c r="N25" i="169"/>
  <c r="U25" i="169"/>
  <c r="U27" i="169"/>
  <c r="V25" i="169"/>
  <c r="V27" i="169"/>
  <c r="W25" i="169"/>
  <c r="X25" i="169"/>
  <c r="Y25" i="169"/>
  <c r="Y27" i="169"/>
  <c r="Z25" i="169"/>
  <c r="Z27" i="169"/>
  <c r="AA25" i="169"/>
  <c r="AA26" i="169"/>
  <c r="AB25" i="169"/>
  <c r="AC25" i="169"/>
  <c r="AC27" i="169"/>
  <c r="AD25" i="169"/>
  <c r="AD27" i="169"/>
  <c r="AE25" i="169"/>
  <c r="AF25" i="169"/>
  <c r="AG25" i="169"/>
  <c r="AG27" i="169"/>
  <c r="AH25" i="169"/>
  <c r="AH27" i="169"/>
  <c r="AI25" i="169"/>
  <c r="AI26" i="169"/>
  <c r="N26" i="169"/>
  <c r="C28" i="169"/>
  <c r="C29" i="169"/>
  <c r="D28" i="169"/>
  <c r="D29" i="169"/>
  <c r="E28" i="169"/>
  <c r="E29" i="169"/>
  <c r="F28" i="169"/>
  <c r="F29" i="169"/>
  <c r="G28" i="169"/>
  <c r="G29" i="169"/>
  <c r="H28" i="169"/>
  <c r="H29" i="169"/>
  <c r="I28" i="169"/>
  <c r="I29" i="169"/>
  <c r="J28" i="169"/>
  <c r="J29" i="169"/>
  <c r="K28" i="169"/>
  <c r="K29" i="169"/>
  <c r="L28" i="169"/>
  <c r="L29" i="169"/>
  <c r="M28" i="169"/>
  <c r="M29" i="169"/>
  <c r="N28" i="169"/>
  <c r="N29" i="169"/>
  <c r="O28" i="169"/>
  <c r="O29" i="169"/>
  <c r="P28" i="169"/>
  <c r="P29" i="169"/>
  <c r="Q28" i="169"/>
  <c r="Q29" i="169"/>
  <c r="C30" i="169"/>
  <c r="C33" i="169"/>
  <c r="D30" i="169"/>
  <c r="D33" i="169"/>
  <c r="E30" i="169"/>
  <c r="E33" i="169"/>
  <c r="F30" i="169"/>
  <c r="F33" i="169"/>
  <c r="G30" i="169"/>
  <c r="G33" i="169"/>
  <c r="H30" i="169"/>
  <c r="H33" i="169"/>
  <c r="I30" i="169"/>
  <c r="I33" i="169"/>
  <c r="J30" i="169"/>
  <c r="J33" i="169"/>
  <c r="K30" i="169"/>
  <c r="K33" i="169"/>
  <c r="L30" i="169"/>
  <c r="L33" i="169"/>
  <c r="M30" i="169"/>
  <c r="M33" i="169"/>
  <c r="N30" i="169"/>
  <c r="N33" i="169"/>
  <c r="O30" i="169"/>
  <c r="O33" i="169"/>
  <c r="P30" i="169"/>
  <c r="P33" i="169"/>
  <c r="Q30" i="169"/>
  <c r="U30" i="169"/>
  <c r="V30" i="169"/>
  <c r="W30" i="169"/>
  <c r="X30" i="169"/>
  <c r="Y30" i="169"/>
  <c r="Z30" i="169"/>
  <c r="AA30" i="169"/>
  <c r="AB30" i="169"/>
  <c r="AC30" i="169"/>
  <c r="AD30" i="169"/>
  <c r="AE30" i="169"/>
  <c r="AF30" i="169"/>
  <c r="AG30" i="169"/>
  <c r="AH30" i="169"/>
  <c r="AI30" i="169"/>
  <c r="C31" i="169"/>
  <c r="D31" i="169"/>
  <c r="E31" i="169"/>
  <c r="F31" i="169"/>
  <c r="G31" i="169"/>
  <c r="H31" i="169"/>
  <c r="I31" i="169"/>
  <c r="J31" i="169"/>
  <c r="K31" i="169"/>
  <c r="L31" i="169"/>
  <c r="M31" i="169"/>
  <c r="N31" i="169"/>
  <c r="O31" i="169"/>
  <c r="P31" i="169"/>
  <c r="Q31" i="169"/>
  <c r="U31" i="169"/>
  <c r="V31" i="169"/>
  <c r="W31" i="169"/>
  <c r="X31" i="169"/>
  <c r="Y31" i="169"/>
  <c r="Z31" i="169"/>
  <c r="AA31" i="169"/>
  <c r="AB31" i="169"/>
  <c r="AC31" i="169"/>
  <c r="AD31" i="169"/>
  <c r="AE31" i="169"/>
  <c r="AF31" i="169"/>
  <c r="AG31" i="169"/>
  <c r="AH31" i="169"/>
  <c r="AI31" i="169"/>
  <c r="AI32" i="169"/>
  <c r="Q33" i="169"/>
  <c r="V34" i="169"/>
  <c r="W34" i="169"/>
  <c r="X34" i="169"/>
  <c r="Y34" i="169"/>
  <c r="Z34" i="169"/>
  <c r="AA34" i="169"/>
  <c r="AB34" i="169"/>
  <c r="AC34" i="169"/>
  <c r="AD34" i="169"/>
  <c r="AE34" i="169"/>
  <c r="AG34" i="169"/>
  <c r="AH34" i="169"/>
  <c r="AI34" i="169"/>
  <c r="C35" i="169"/>
  <c r="C37" i="169"/>
  <c r="D35" i="169"/>
  <c r="D36" i="169"/>
  <c r="E35" i="169"/>
  <c r="F35" i="169"/>
  <c r="F37" i="169"/>
  <c r="G35" i="169"/>
  <c r="G37" i="169"/>
  <c r="H35" i="169"/>
  <c r="H36" i="169"/>
  <c r="I35" i="169"/>
  <c r="I37" i="169"/>
  <c r="J35" i="169"/>
  <c r="J37" i="169"/>
  <c r="K35" i="169"/>
  <c r="K37" i="169"/>
  <c r="L35" i="169"/>
  <c r="L36" i="169"/>
  <c r="M35" i="169"/>
  <c r="N35" i="169"/>
  <c r="O35" i="169"/>
  <c r="O37" i="169"/>
  <c r="P35" i="169"/>
  <c r="P36" i="169"/>
  <c r="Q35" i="169"/>
  <c r="Q37" i="169"/>
  <c r="V35" i="169"/>
  <c r="W35" i="169"/>
  <c r="X35" i="169"/>
  <c r="Y35" i="169"/>
  <c r="Z35" i="169"/>
  <c r="AA35" i="169"/>
  <c r="AB35" i="169"/>
  <c r="AC35" i="169"/>
  <c r="AD35" i="169"/>
  <c r="AE35" i="169"/>
  <c r="AG35" i="169"/>
  <c r="AH35" i="169"/>
  <c r="AI35" i="169"/>
  <c r="C36" i="169"/>
  <c r="V36" i="169"/>
  <c r="V37" i="169"/>
  <c r="W36" i="169"/>
  <c r="W37" i="169"/>
  <c r="X36" i="169"/>
  <c r="X37" i="169"/>
  <c r="Y36" i="169"/>
  <c r="Y37" i="169"/>
  <c r="Z36" i="169"/>
  <c r="Z37" i="169"/>
  <c r="AA36" i="169"/>
  <c r="AA37" i="169"/>
  <c r="AB36" i="169"/>
  <c r="AB37" i="169"/>
  <c r="AC36" i="169"/>
  <c r="AC37" i="169"/>
  <c r="AD36" i="169"/>
  <c r="AD37" i="169"/>
  <c r="AE36" i="169"/>
  <c r="AE37" i="169"/>
  <c r="AG36" i="169"/>
  <c r="AG37" i="169"/>
  <c r="AH36" i="169"/>
  <c r="AH37" i="169"/>
  <c r="AI36" i="169"/>
  <c r="AI37" i="169"/>
  <c r="U37" i="169"/>
  <c r="AF37" i="169"/>
  <c r="Q38" i="169"/>
  <c r="V38" i="169"/>
  <c r="W38" i="169"/>
  <c r="X38" i="169"/>
  <c r="Y38" i="169"/>
  <c r="Z38" i="169"/>
  <c r="AA38" i="169"/>
  <c r="AB38" i="169"/>
  <c r="AC38" i="169"/>
  <c r="AD38" i="169"/>
  <c r="AE38" i="169"/>
  <c r="AG38" i="169"/>
  <c r="AH38" i="169"/>
  <c r="AI38" i="169"/>
  <c r="C40" i="169"/>
  <c r="D40" i="169"/>
  <c r="E40" i="169"/>
  <c r="F40" i="169"/>
  <c r="G40" i="169"/>
  <c r="H40" i="169"/>
  <c r="I40" i="169"/>
  <c r="J40" i="169"/>
  <c r="K40" i="169"/>
  <c r="L40" i="169"/>
  <c r="M40" i="169"/>
  <c r="N40" i="169"/>
  <c r="O40" i="169"/>
  <c r="P40" i="169"/>
  <c r="Q40" i="169"/>
  <c r="C41" i="169"/>
  <c r="D41" i="169"/>
  <c r="E41" i="169"/>
  <c r="F41" i="169"/>
  <c r="G41" i="169"/>
  <c r="H41" i="169"/>
  <c r="I41" i="169"/>
  <c r="J41" i="169"/>
  <c r="K41" i="169"/>
  <c r="L41" i="169"/>
  <c r="M41" i="169"/>
  <c r="N41" i="169"/>
  <c r="O41" i="169"/>
  <c r="P41" i="169"/>
  <c r="Q41" i="169"/>
  <c r="C42" i="169"/>
  <c r="D42" i="169"/>
  <c r="E42" i="169"/>
  <c r="F42" i="169"/>
  <c r="G42" i="169"/>
  <c r="H42" i="169"/>
  <c r="I42" i="169"/>
  <c r="J42" i="169"/>
  <c r="K42" i="169"/>
  <c r="L42" i="169"/>
  <c r="M42" i="169"/>
  <c r="N42" i="169"/>
  <c r="O42" i="169"/>
  <c r="P42" i="169"/>
  <c r="Q42" i="169"/>
  <c r="V42" i="169"/>
  <c r="W42" i="169"/>
  <c r="X42" i="169"/>
  <c r="Y42" i="169"/>
  <c r="Z42" i="169"/>
  <c r="AA42" i="169"/>
  <c r="AB42" i="169"/>
  <c r="AC42" i="169"/>
  <c r="AD42" i="169"/>
  <c r="AG42" i="169"/>
  <c r="AH42" i="169"/>
  <c r="AI42" i="169"/>
  <c r="C43" i="169"/>
  <c r="C44" i="169"/>
  <c r="D43" i="169"/>
  <c r="D44" i="169"/>
  <c r="E43" i="169"/>
  <c r="E44" i="169"/>
  <c r="F43" i="169"/>
  <c r="F44" i="169"/>
  <c r="G43" i="169"/>
  <c r="G44" i="169"/>
  <c r="H43" i="169"/>
  <c r="H44" i="169"/>
  <c r="I43" i="169"/>
  <c r="I44" i="169"/>
  <c r="J43" i="169"/>
  <c r="J44" i="169"/>
  <c r="K43" i="169"/>
  <c r="K44" i="169"/>
  <c r="L43" i="169"/>
  <c r="L44" i="169"/>
  <c r="M43" i="169"/>
  <c r="M44" i="169"/>
  <c r="N43" i="169"/>
  <c r="N44" i="169"/>
  <c r="O43" i="169"/>
  <c r="O44" i="169"/>
  <c r="P43" i="169"/>
  <c r="P44" i="169"/>
  <c r="Q43" i="169"/>
  <c r="Q44" i="169"/>
  <c r="V43" i="169"/>
  <c r="W43" i="169"/>
  <c r="X43" i="169"/>
  <c r="Y43" i="169"/>
  <c r="Z43" i="169"/>
  <c r="AA43" i="169"/>
  <c r="AB43" i="169"/>
  <c r="AC43" i="169"/>
  <c r="AD43" i="169"/>
  <c r="AG43" i="169"/>
  <c r="AH43" i="169"/>
  <c r="AI43" i="169"/>
  <c r="V44" i="169"/>
  <c r="W44" i="169"/>
  <c r="X44" i="169"/>
  <c r="Y44" i="169"/>
  <c r="Z44" i="169"/>
  <c r="AA44" i="169"/>
  <c r="AB44" i="169"/>
  <c r="AC44" i="169"/>
  <c r="AD44" i="169"/>
  <c r="AG44" i="169"/>
  <c r="AH44" i="169"/>
  <c r="AI44" i="169"/>
  <c r="C45" i="169"/>
  <c r="D45" i="169"/>
  <c r="E45" i="169"/>
  <c r="F45" i="169"/>
  <c r="G45" i="169"/>
  <c r="H45" i="169"/>
  <c r="I45" i="169"/>
  <c r="J45" i="169"/>
  <c r="K45" i="169"/>
  <c r="L45" i="169"/>
  <c r="M45" i="169"/>
  <c r="N45" i="169"/>
  <c r="O45" i="169"/>
  <c r="P45" i="169"/>
  <c r="Q45" i="169"/>
  <c r="V45" i="169"/>
  <c r="W45" i="169"/>
  <c r="X45" i="169"/>
  <c r="Y45" i="169"/>
  <c r="Z45" i="169"/>
  <c r="AA45" i="169"/>
  <c r="AB45" i="169"/>
  <c r="AC45" i="169"/>
  <c r="AD45" i="169"/>
  <c r="AG45" i="169"/>
  <c r="AH45" i="169"/>
  <c r="AI45" i="169"/>
  <c r="C46" i="169"/>
  <c r="D46" i="169"/>
  <c r="E46" i="169"/>
  <c r="F46" i="169"/>
  <c r="G46" i="169"/>
  <c r="H46" i="169"/>
  <c r="I46" i="169"/>
  <c r="J46" i="169"/>
  <c r="K46" i="169"/>
  <c r="L46" i="169"/>
  <c r="M46" i="169"/>
  <c r="N46" i="169"/>
  <c r="O46" i="169"/>
  <c r="P46" i="169"/>
  <c r="Q46" i="169"/>
  <c r="V46" i="169"/>
  <c r="W46" i="169"/>
  <c r="X46" i="169"/>
  <c r="Y46" i="169"/>
  <c r="Z46" i="169"/>
  <c r="AA46" i="169"/>
  <c r="AB46" i="169"/>
  <c r="AC46" i="169"/>
  <c r="AD46" i="169"/>
  <c r="AG46" i="169"/>
  <c r="AH46" i="169"/>
  <c r="AI46" i="169"/>
  <c r="V47" i="169"/>
  <c r="W47" i="169"/>
  <c r="X47" i="169"/>
  <c r="Y47" i="169"/>
  <c r="Z47" i="169"/>
  <c r="AA47" i="169"/>
  <c r="AB47" i="169"/>
  <c r="AC47" i="169"/>
  <c r="AD47" i="169"/>
  <c r="AG47" i="169"/>
  <c r="AH47" i="169"/>
  <c r="AI47" i="169"/>
  <c r="C48" i="169"/>
  <c r="V48" i="169"/>
  <c r="W48" i="169"/>
  <c r="X48" i="169"/>
  <c r="Y48" i="169"/>
  <c r="Z48" i="169"/>
  <c r="AA48" i="169"/>
  <c r="AB48" i="169"/>
  <c r="AC48" i="169"/>
  <c r="AD48" i="169"/>
  <c r="AG48" i="169"/>
  <c r="AH48" i="169"/>
  <c r="AI48" i="169"/>
  <c r="V49" i="169"/>
  <c r="W49" i="169"/>
  <c r="X49" i="169"/>
  <c r="Y49" i="169"/>
  <c r="Z49" i="169"/>
  <c r="AA49" i="169"/>
  <c r="AB49" i="169"/>
  <c r="AC49" i="169"/>
  <c r="AD49" i="169"/>
  <c r="AG49" i="169"/>
  <c r="AH49" i="169"/>
  <c r="AI49" i="169"/>
  <c r="V50" i="169"/>
  <c r="W50" i="169"/>
  <c r="X50" i="169"/>
  <c r="Y50" i="169"/>
  <c r="Z50" i="169"/>
  <c r="AA50" i="169"/>
  <c r="AB50" i="169"/>
  <c r="AC50" i="169"/>
  <c r="AD50" i="169"/>
  <c r="AG50" i="169"/>
  <c r="AH50" i="169"/>
  <c r="AI50" i="169"/>
  <c r="D12" i="134"/>
  <c r="E12" i="134"/>
  <c r="F12" i="134"/>
  <c r="G12" i="134"/>
  <c r="H12" i="134"/>
  <c r="I12" i="134"/>
  <c r="J12" i="134"/>
  <c r="K12" i="134"/>
  <c r="L12" i="134"/>
  <c r="M12" i="134"/>
  <c r="N12" i="134"/>
  <c r="O12" i="134"/>
  <c r="P12" i="134"/>
  <c r="Q12" i="134"/>
  <c r="U12" i="134"/>
  <c r="V12" i="134"/>
  <c r="D13" i="134"/>
  <c r="E13" i="134"/>
  <c r="F13" i="134"/>
  <c r="G13" i="134"/>
  <c r="H13" i="134"/>
  <c r="I13" i="134"/>
  <c r="J13" i="134"/>
  <c r="K13" i="134"/>
  <c r="L13" i="134"/>
  <c r="M13" i="134"/>
  <c r="N13" i="134"/>
  <c r="P13" i="134"/>
  <c r="Q13" i="134"/>
  <c r="U13" i="134"/>
  <c r="V13" i="134"/>
  <c r="D14" i="134"/>
  <c r="E14" i="134"/>
  <c r="F14" i="134"/>
  <c r="G14" i="134"/>
  <c r="I14" i="134"/>
  <c r="K14" i="134"/>
  <c r="L14" i="134"/>
  <c r="M14" i="134"/>
  <c r="N14" i="134"/>
  <c r="O14" i="134"/>
  <c r="P14" i="134"/>
  <c r="Q14" i="134"/>
  <c r="U14" i="134"/>
  <c r="V14" i="134"/>
  <c r="D15" i="134"/>
  <c r="E15" i="134"/>
  <c r="F15" i="134"/>
  <c r="G15" i="134"/>
  <c r="H15" i="134"/>
  <c r="I15" i="134"/>
  <c r="J15" i="134"/>
  <c r="K15" i="134"/>
  <c r="L15" i="134"/>
  <c r="M15" i="134"/>
  <c r="P15" i="134"/>
  <c r="Q15" i="134"/>
  <c r="U15" i="134"/>
  <c r="V15" i="134"/>
  <c r="D16" i="134"/>
  <c r="E16" i="134"/>
  <c r="F16" i="134"/>
  <c r="G16" i="134"/>
  <c r="H16" i="134"/>
  <c r="I16" i="134"/>
  <c r="J16" i="134"/>
  <c r="K16" i="134"/>
  <c r="L16" i="134"/>
  <c r="M16" i="134"/>
  <c r="N16" i="134"/>
  <c r="P16" i="134"/>
  <c r="Q16" i="134"/>
  <c r="U16" i="134"/>
  <c r="V16" i="134"/>
  <c r="E18" i="134"/>
  <c r="F18" i="134"/>
  <c r="G18" i="134"/>
  <c r="H18" i="134"/>
  <c r="I18" i="134"/>
  <c r="J18" i="134"/>
  <c r="L18" i="134"/>
  <c r="M18" i="134"/>
  <c r="N18" i="134"/>
  <c r="P18" i="134"/>
  <c r="Q18" i="134"/>
  <c r="S18" i="134"/>
  <c r="T18" i="134"/>
  <c r="U18" i="134"/>
  <c r="V18" i="134"/>
  <c r="E19" i="134"/>
  <c r="F19" i="134"/>
  <c r="G19" i="134"/>
  <c r="H19" i="134"/>
  <c r="I19" i="134"/>
  <c r="J19" i="134"/>
  <c r="L19" i="134"/>
  <c r="M19" i="134"/>
  <c r="N19" i="134"/>
  <c r="P19" i="134"/>
  <c r="Q19" i="134"/>
  <c r="S19" i="134"/>
  <c r="T19" i="134"/>
  <c r="U19" i="134"/>
  <c r="V19" i="134"/>
  <c r="D21" i="134"/>
  <c r="E21" i="134"/>
  <c r="F21" i="134"/>
  <c r="G21" i="134"/>
  <c r="H21" i="134"/>
  <c r="I21" i="134"/>
  <c r="J21" i="134"/>
  <c r="K21" i="134"/>
  <c r="L21" i="134"/>
  <c r="M21" i="134"/>
  <c r="N21" i="134"/>
  <c r="O21" i="134"/>
  <c r="P21" i="134"/>
  <c r="Q21" i="134"/>
  <c r="U21" i="134"/>
  <c r="V21" i="134"/>
  <c r="W21" i="134"/>
  <c r="X21" i="134"/>
  <c r="D23" i="134"/>
  <c r="E23" i="134"/>
  <c r="F23" i="134"/>
  <c r="G23" i="134"/>
  <c r="H23" i="134"/>
  <c r="I23" i="134"/>
  <c r="J23" i="134"/>
  <c r="K23" i="134"/>
  <c r="L23" i="134"/>
  <c r="M23" i="134"/>
  <c r="N23" i="134"/>
  <c r="O23" i="134"/>
  <c r="P23" i="134"/>
  <c r="Q23" i="134"/>
  <c r="S23" i="134"/>
  <c r="T23" i="134"/>
  <c r="U23" i="134"/>
  <c r="V23" i="134"/>
  <c r="W23" i="134"/>
  <c r="X23" i="134"/>
  <c r="D24" i="134"/>
  <c r="E24" i="134"/>
  <c r="F24" i="134"/>
  <c r="G24" i="134"/>
  <c r="H24" i="134"/>
  <c r="I24" i="134"/>
  <c r="J24" i="134"/>
  <c r="K24" i="134"/>
  <c r="L24" i="134"/>
  <c r="M24" i="134"/>
  <c r="N24" i="134"/>
  <c r="O24" i="134"/>
  <c r="P24" i="134"/>
  <c r="Q24" i="134"/>
  <c r="S24" i="134"/>
  <c r="T24" i="134"/>
  <c r="U24" i="134"/>
  <c r="V24" i="134"/>
  <c r="W24" i="134"/>
  <c r="X24" i="134"/>
  <c r="D25" i="134"/>
  <c r="E25" i="134"/>
  <c r="F25" i="134"/>
  <c r="G25" i="134"/>
  <c r="H25" i="134"/>
  <c r="I25" i="134"/>
  <c r="J25" i="134"/>
  <c r="K25" i="134"/>
  <c r="L25" i="134"/>
  <c r="M25" i="134"/>
  <c r="N25" i="134"/>
  <c r="O25" i="134"/>
  <c r="P25" i="134"/>
  <c r="Q25" i="134"/>
  <c r="S25" i="134"/>
  <c r="T25" i="134"/>
  <c r="U25" i="134"/>
  <c r="V25" i="134"/>
  <c r="W25" i="134"/>
  <c r="X25" i="134"/>
  <c r="D26" i="134"/>
  <c r="E26" i="134"/>
  <c r="F26" i="134"/>
  <c r="G26" i="134"/>
  <c r="H26" i="134"/>
  <c r="I26" i="134"/>
  <c r="J26" i="134"/>
  <c r="K26" i="134"/>
  <c r="L26" i="134"/>
  <c r="M26" i="134"/>
  <c r="N26" i="134"/>
  <c r="P26" i="134"/>
  <c r="Q26" i="134"/>
  <c r="R26" i="134"/>
  <c r="S26" i="134"/>
  <c r="T26" i="134"/>
  <c r="U26" i="134"/>
  <c r="V26" i="134"/>
  <c r="D30" i="134"/>
  <c r="E30" i="134"/>
  <c r="F30" i="134"/>
  <c r="G30" i="134"/>
  <c r="H30" i="134"/>
  <c r="I30" i="134"/>
  <c r="J30" i="134"/>
  <c r="K30" i="134"/>
  <c r="L30" i="134"/>
  <c r="M30" i="134"/>
  <c r="N30" i="134"/>
  <c r="O30" i="134"/>
  <c r="P30" i="134"/>
  <c r="Q30" i="134"/>
  <c r="R30" i="134"/>
  <c r="S30" i="134"/>
  <c r="T30" i="134"/>
  <c r="F33" i="134"/>
  <c r="F34" i="134"/>
  <c r="F36" i="134"/>
  <c r="F37" i="134"/>
  <c r="F38" i="134"/>
  <c r="F39" i="134"/>
  <c r="F40" i="134"/>
  <c r="F42" i="134"/>
  <c r="F44" i="134"/>
  <c r="F46" i="134"/>
  <c r="G46" i="134"/>
  <c r="F47" i="134"/>
  <c r="G47" i="134"/>
  <c r="F48" i="134"/>
  <c r="G48" i="134"/>
  <c r="F49" i="134"/>
  <c r="G49" i="134"/>
  <c r="F51" i="134"/>
  <c r="F52" i="134"/>
  <c r="W52" i="134"/>
  <c r="F53" i="134"/>
  <c r="W53" i="134"/>
  <c r="F54" i="134"/>
  <c r="W54" i="134"/>
  <c r="F55" i="134"/>
  <c r="F56" i="134"/>
  <c r="W56" i="134"/>
  <c r="F59" i="134"/>
  <c r="W59" i="134"/>
  <c r="W60" i="134"/>
  <c r="X60" i="134"/>
  <c r="F61" i="134"/>
  <c r="W61" i="134"/>
  <c r="G65" i="134"/>
  <c r="G67" i="134"/>
  <c r="B72" i="134"/>
  <c r="I74" i="134"/>
  <c r="B80" i="134"/>
  <c r="G80" i="134"/>
  <c r="G10" i="28"/>
  <c r="H10" i="28"/>
  <c r="I10" i="28"/>
  <c r="J10" i="28"/>
  <c r="G11" i="28"/>
  <c r="H11" i="28"/>
  <c r="I11" i="28"/>
  <c r="J11" i="28"/>
  <c r="I12" i="28"/>
  <c r="J12" i="28"/>
  <c r="E14" i="28"/>
  <c r="F14" i="28"/>
  <c r="G14" i="28"/>
  <c r="H14" i="28"/>
  <c r="I14" i="28"/>
  <c r="E15" i="28"/>
  <c r="F15" i="28"/>
  <c r="G15" i="28"/>
  <c r="H15" i="28"/>
  <c r="I15" i="28"/>
  <c r="J15" i="28"/>
  <c r="G16" i="28"/>
  <c r="H16" i="28"/>
  <c r="E17" i="28"/>
  <c r="F17" i="28"/>
  <c r="G17" i="28"/>
  <c r="H17" i="28"/>
  <c r="I17" i="28"/>
  <c r="J17" i="28"/>
  <c r="E18" i="28"/>
  <c r="F18" i="28"/>
  <c r="G18" i="28"/>
  <c r="H18" i="28"/>
  <c r="I18" i="28"/>
  <c r="J18" i="28"/>
  <c r="G19" i="28"/>
  <c r="H19" i="28"/>
  <c r="I19" i="28"/>
  <c r="J19" i="28"/>
  <c r="K19" i="28"/>
  <c r="H20" i="28"/>
  <c r="I20" i="28"/>
  <c r="J20" i="28"/>
  <c r="K20" i="28"/>
  <c r="L20" i="28"/>
  <c r="J21" i="28"/>
  <c r="K21" i="28"/>
  <c r="L21" i="28"/>
  <c r="E23" i="28"/>
  <c r="F23" i="28"/>
  <c r="G23" i="28"/>
  <c r="H23" i="28"/>
  <c r="I23" i="28"/>
  <c r="J23" i="28"/>
  <c r="K23" i="28"/>
  <c r="L23" i="28"/>
  <c r="G25" i="28"/>
  <c r="K31" i="28"/>
  <c r="L31" i="28"/>
  <c r="D33" i="28"/>
  <c r="E33" i="28"/>
  <c r="K33" i="28"/>
  <c r="L33" i="28"/>
  <c r="D34" i="28"/>
  <c r="E34" i="28"/>
  <c r="K34" i="28"/>
  <c r="L34" i="28"/>
  <c r="D35" i="28"/>
  <c r="E35" i="28"/>
  <c r="D36" i="28"/>
  <c r="E36" i="28"/>
  <c r="K36" i="28"/>
  <c r="L36" i="28"/>
  <c r="D37" i="28"/>
  <c r="E37" i="28"/>
  <c r="K37" i="28"/>
  <c r="L37" i="28"/>
  <c r="D38" i="28"/>
  <c r="E38" i="28"/>
  <c r="K38" i="28"/>
  <c r="L38" i="28"/>
  <c r="D39" i="28"/>
  <c r="E39" i="28"/>
  <c r="K39" i="28"/>
  <c r="L39" i="28"/>
  <c r="D40" i="28"/>
  <c r="E40" i="28"/>
  <c r="K40" i="28"/>
  <c r="L40" i="28"/>
  <c r="D41" i="28"/>
  <c r="E41" i="28"/>
  <c r="K41" i="28"/>
  <c r="L41" i="28"/>
  <c r="D42" i="28"/>
  <c r="E42" i="28"/>
  <c r="K42" i="28"/>
  <c r="L42" i="28"/>
  <c r="D43" i="28"/>
  <c r="E43" i="28"/>
  <c r="K43" i="28"/>
  <c r="L43" i="28"/>
  <c r="D44" i="28"/>
  <c r="E44" i="28"/>
  <c r="K44" i="28"/>
  <c r="L44" i="28"/>
  <c r="D45" i="28"/>
  <c r="E45" i="28"/>
  <c r="K45" i="28"/>
  <c r="L45" i="28"/>
  <c r="D46" i="28"/>
  <c r="E46" i="28"/>
  <c r="K46" i="28"/>
  <c r="L46" i="28"/>
  <c r="D47" i="28"/>
  <c r="E47" i="28"/>
  <c r="K47" i="28"/>
  <c r="L47" i="28"/>
  <c r="D48" i="28"/>
  <c r="E48" i="28"/>
  <c r="K48" i="28"/>
  <c r="L48" i="28"/>
  <c r="D49" i="28"/>
  <c r="E49" i="28"/>
  <c r="K49" i="28"/>
  <c r="L49" i="28"/>
  <c r="D50" i="28"/>
  <c r="E50" i="28"/>
  <c r="K50" i="28"/>
  <c r="L50" i="28"/>
  <c r="D51" i="28"/>
  <c r="E51" i="28"/>
  <c r="K51" i="28"/>
  <c r="L51" i="28"/>
  <c r="D52" i="28"/>
  <c r="E52" i="28"/>
  <c r="K52" i="28"/>
  <c r="L52" i="28"/>
  <c r="D53" i="28"/>
  <c r="E53" i="28"/>
  <c r="K53" i="28"/>
  <c r="L53" i="28"/>
  <c r="D54" i="28"/>
  <c r="E54" i="28"/>
  <c r="K54" i="28"/>
  <c r="L54" i="28"/>
  <c r="K55" i="28"/>
  <c r="L55" i="28"/>
  <c r="D56" i="28"/>
  <c r="E56" i="28"/>
  <c r="K56" i="28"/>
  <c r="L56" i="28"/>
  <c r="D57" i="28"/>
  <c r="E57" i="28"/>
  <c r="K57" i="28"/>
  <c r="L57" i="28"/>
  <c r="D58" i="28"/>
  <c r="E58" i="28"/>
  <c r="K58" i="28"/>
  <c r="L58" i="28"/>
  <c r="D59" i="28"/>
  <c r="E59" i="28"/>
  <c r="K59" i="28"/>
  <c r="L59" i="28"/>
  <c r="D60" i="28"/>
  <c r="E60" i="28"/>
  <c r="K60" i="28"/>
  <c r="L60" i="28"/>
  <c r="D61" i="28"/>
  <c r="E61" i="28"/>
  <c r="K61" i="28"/>
  <c r="L61" i="28"/>
  <c r="K62" i="28"/>
  <c r="L62" i="28"/>
  <c r="D63" i="28"/>
  <c r="E63" i="28"/>
  <c r="K63" i="28"/>
  <c r="L63" i="28"/>
  <c r="D64" i="28"/>
  <c r="E64" i="28"/>
  <c r="K64" i="28"/>
  <c r="L64" i="28"/>
  <c r="D65" i="28"/>
  <c r="E65" i="28"/>
  <c r="D66" i="28"/>
  <c r="E66" i="28"/>
  <c r="K66" i="28"/>
  <c r="L66" i="28"/>
  <c r="D67" i="28"/>
  <c r="E67" i="28"/>
  <c r="K67" i="28"/>
  <c r="L67" i="28"/>
  <c r="K68" i="28"/>
  <c r="L68" i="28"/>
  <c r="D69" i="28"/>
  <c r="K69" i="28"/>
  <c r="L69" i="28"/>
  <c r="D70" i="28"/>
  <c r="K70" i="28"/>
  <c r="L70" i="28"/>
  <c r="H73" i="28"/>
  <c r="I73" i="28"/>
  <c r="J73" i="28"/>
  <c r="G78" i="28"/>
  <c r="D83" i="28"/>
  <c r="D84" i="28"/>
  <c r="D85" i="28"/>
  <c r="K85" i="28"/>
  <c r="D86" i="28"/>
  <c r="K86" i="28"/>
  <c r="D6" i="26"/>
  <c r="I6" i="26"/>
  <c r="N6" i="26"/>
  <c r="I7" i="26"/>
  <c r="I8" i="26"/>
  <c r="N8" i="26"/>
  <c r="D9" i="26"/>
  <c r="I10" i="26"/>
  <c r="D11" i="26"/>
  <c r="N11" i="26"/>
  <c r="I12" i="26"/>
  <c r="D14" i="26"/>
  <c r="N14" i="26"/>
  <c r="I15" i="26"/>
  <c r="N16" i="26"/>
  <c r="D17" i="26"/>
  <c r="I18" i="26"/>
  <c r="N18" i="26"/>
  <c r="D19" i="26"/>
  <c r="N19" i="26"/>
  <c r="N21" i="26"/>
  <c r="D22" i="26"/>
  <c r="I22" i="26"/>
  <c r="D23" i="26"/>
  <c r="I23" i="26"/>
  <c r="N23" i="26"/>
  <c r="D24" i="26"/>
  <c r="I25" i="26"/>
  <c r="N25" i="26"/>
  <c r="D26" i="26"/>
  <c r="I26" i="26"/>
  <c r="N26" i="26"/>
  <c r="D27" i="26"/>
  <c r="I27" i="26"/>
  <c r="N27" i="26"/>
  <c r="I28" i="26"/>
  <c r="N28" i="26"/>
  <c r="B8" i="219"/>
  <c r="C8" i="219"/>
  <c r="D8" i="219"/>
  <c r="E8" i="219"/>
  <c r="F8" i="219"/>
  <c r="G8" i="219"/>
  <c r="H8" i="219"/>
  <c r="I8" i="219"/>
  <c r="K8" i="219"/>
  <c r="M8" i="219"/>
  <c r="O8" i="219"/>
  <c r="Q8" i="219"/>
  <c r="B9" i="219"/>
  <c r="C9" i="219"/>
  <c r="D9" i="219"/>
  <c r="E9" i="219"/>
  <c r="F9" i="219"/>
  <c r="G9" i="219"/>
  <c r="H9" i="219"/>
  <c r="I9" i="219"/>
  <c r="K9" i="219"/>
  <c r="M9" i="219"/>
  <c r="O9" i="219"/>
  <c r="Q9" i="219"/>
  <c r="B10" i="219"/>
  <c r="C10" i="219"/>
  <c r="D10" i="219"/>
  <c r="E10" i="219"/>
  <c r="F10" i="219"/>
  <c r="G10" i="219"/>
  <c r="H10" i="219"/>
  <c r="I10" i="219"/>
  <c r="K10" i="219"/>
  <c r="M10" i="219"/>
  <c r="O10" i="219"/>
  <c r="Q10" i="219"/>
  <c r="B11" i="219"/>
  <c r="C11" i="219"/>
  <c r="D11" i="219"/>
  <c r="E11" i="219"/>
  <c r="F11" i="219"/>
  <c r="G11" i="219"/>
  <c r="H11" i="219"/>
  <c r="I11" i="219"/>
  <c r="K11" i="219"/>
  <c r="M11" i="219"/>
  <c r="O11" i="219"/>
  <c r="Q11" i="219"/>
  <c r="C12" i="219"/>
  <c r="E12" i="219"/>
  <c r="F12" i="219"/>
  <c r="G12" i="219"/>
  <c r="H12" i="219"/>
  <c r="I12" i="219"/>
  <c r="K12" i="219"/>
  <c r="M12" i="219"/>
  <c r="O12" i="219"/>
  <c r="Q12" i="219"/>
  <c r="C13" i="219"/>
  <c r="E13" i="219"/>
  <c r="F13" i="219"/>
  <c r="G13" i="219"/>
  <c r="H13" i="219"/>
  <c r="I13" i="219"/>
  <c r="K13" i="219"/>
  <c r="M13" i="219"/>
  <c r="O13" i="219"/>
  <c r="Q13" i="219"/>
  <c r="B14" i="219"/>
  <c r="C14" i="219"/>
  <c r="D14" i="219"/>
  <c r="E14" i="219"/>
  <c r="F14" i="219"/>
  <c r="G14" i="219"/>
  <c r="H14" i="219"/>
  <c r="I14" i="219"/>
  <c r="K14" i="219"/>
  <c r="M14" i="219"/>
  <c r="O14" i="219"/>
  <c r="Q14" i="219"/>
  <c r="B15" i="219"/>
  <c r="C15" i="219"/>
  <c r="D15" i="219"/>
  <c r="E15" i="219"/>
  <c r="F15" i="219"/>
  <c r="G15" i="219"/>
  <c r="H15" i="219"/>
  <c r="I15" i="219"/>
  <c r="K15" i="219"/>
  <c r="M15" i="219"/>
  <c r="O15" i="219"/>
  <c r="Q15" i="219"/>
  <c r="B17" i="219"/>
  <c r="B18" i="219"/>
  <c r="B19" i="219"/>
  <c r="B20" i="219"/>
  <c r="B23" i="219"/>
  <c r="C23" i="219"/>
  <c r="D23" i="219"/>
  <c r="E23" i="219"/>
  <c r="F23" i="219"/>
  <c r="G23" i="219"/>
  <c r="H23" i="219"/>
  <c r="I23" i="219"/>
  <c r="K23" i="219"/>
  <c r="M23" i="219"/>
  <c r="O23" i="219"/>
  <c r="Q23" i="219"/>
  <c r="B24" i="219"/>
  <c r="C24" i="219"/>
  <c r="D24" i="219"/>
  <c r="E24" i="219"/>
  <c r="F24" i="219"/>
  <c r="G24" i="219"/>
  <c r="H24" i="219"/>
  <c r="I24" i="219"/>
  <c r="K24" i="219"/>
  <c r="M24" i="219"/>
  <c r="O24" i="219"/>
  <c r="Q24" i="219"/>
  <c r="B26" i="219"/>
  <c r="D26" i="219"/>
  <c r="F26" i="219"/>
  <c r="G26" i="219"/>
  <c r="H26" i="219"/>
  <c r="I26" i="219"/>
  <c r="M26" i="219"/>
  <c r="O26" i="219"/>
  <c r="Q26" i="219"/>
  <c r="B27" i="219"/>
  <c r="D27" i="219"/>
  <c r="F27" i="219"/>
  <c r="G27" i="219"/>
  <c r="H27" i="219"/>
  <c r="I27" i="219"/>
  <c r="M27" i="219"/>
  <c r="O27" i="219"/>
  <c r="Q27" i="219"/>
  <c r="B29" i="219"/>
  <c r="B30" i="219"/>
  <c r="C30" i="219"/>
  <c r="D30" i="219"/>
  <c r="E30" i="219"/>
  <c r="F30" i="219"/>
  <c r="G30" i="219"/>
  <c r="H30" i="219"/>
  <c r="I30" i="219"/>
  <c r="K30" i="219"/>
  <c r="M30" i="219"/>
  <c r="O30" i="219"/>
  <c r="Q30" i="219"/>
  <c r="H32" i="219"/>
  <c r="R32" i="219"/>
  <c r="E33" i="219"/>
  <c r="C36" i="219"/>
  <c r="K36" i="219"/>
  <c r="M37" i="219"/>
  <c r="R37" i="219"/>
  <c r="M38" i="219"/>
  <c r="R38" i="219"/>
  <c r="M39" i="219"/>
  <c r="R39" i="219"/>
  <c r="B40" i="219"/>
  <c r="D40" i="219"/>
  <c r="J40" i="219"/>
  <c r="L40" i="219"/>
  <c r="N40" i="219"/>
  <c r="O40" i="219"/>
  <c r="E41" i="219"/>
  <c r="F41" i="219"/>
  <c r="G41" i="219"/>
  <c r="H41" i="219"/>
  <c r="I41" i="219"/>
  <c r="P41" i="219"/>
  <c r="Q41" i="219"/>
  <c r="E42" i="219"/>
  <c r="F42" i="219"/>
  <c r="G42" i="219"/>
  <c r="H42" i="219"/>
  <c r="I42" i="219"/>
  <c r="P42" i="219"/>
  <c r="Q42" i="219"/>
  <c r="B45" i="219"/>
  <c r="C45" i="219"/>
  <c r="D45" i="219"/>
  <c r="E45" i="219"/>
  <c r="F45" i="219"/>
  <c r="G45" i="219"/>
  <c r="H45" i="219"/>
  <c r="I45" i="219"/>
  <c r="K45" i="219"/>
  <c r="M45" i="219"/>
  <c r="O45" i="219"/>
  <c r="Q45" i="219"/>
  <c r="B46" i="219"/>
  <c r="C46" i="219"/>
  <c r="D46" i="219"/>
  <c r="E46" i="219"/>
  <c r="F46" i="219"/>
  <c r="G46" i="219"/>
  <c r="H46" i="219"/>
  <c r="I46" i="219"/>
  <c r="K46" i="219"/>
  <c r="M46" i="219"/>
  <c r="O46" i="219"/>
  <c r="Q46" i="219"/>
  <c r="B47" i="219"/>
  <c r="C47" i="219"/>
  <c r="D47" i="219"/>
  <c r="E47" i="219"/>
  <c r="F47" i="219"/>
  <c r="G47" i="219"/>
  <c r="H47" i="219"/>
  <c r="I47" i="219"/>
  <c r="K47" i="219"/>
  <c r="M47" i="219"/>
  <c r="O47" i="219"/>
  <c r="Q47" i="219"/>
  <c r="B48" i="219"/>
  <c r="C48" i="219"/>
  <c r="D48" i="219"/>
  <c r="E48" i="219"/>
  <c r="F48" i="219"/>
  <c r="G48" i="219"/>
  <c r="H48" i="219"/>
  <c r="I48" i="219"/>
  <c r="K48" i="219"/>
  <c r="M48" i="219"/>
  <c r="O48" i="219"/>
  <c r="Q48" i="219"/>
  <c r="B49" i="219"/>
  <c r="C49" i="219"/>
  <c r="D49" i="219"/>
  <c r="E49" i="219"/>
  <c r="F49" i="219"/>
  <c r="G49" i="219"/>
  <c r="H49" i="219"/>
  <c r="I49" i="219"/>
  <c r="M49" i="219"/>
  <c r="O49" i="219"/>
  <c r="Q49" i="219"/>
  <c r="B50" i="219"/>
  <c r="C50" i="219"/>
  <c r="D50" i="219"/>
  <c r="E50" i="219"/>
  <c r="F50" i="219"/>
  <c r="G50" i="219"/>
  <c r="H50" i="219"/>
  <c r="I50" i="219"/>
  <c r="K50" i="219"/>
  <c r="M50" i="219"/>
  <c r="O50" i="219"/>
  <c r="Q50" i="219"/>
  <c r="B51" i="219"/>
  <c r="C51" i="219"/>
  <c r="D51" i="219"/>
  <c r="E51" i="219"/>
  <c r="F51" i="219"/>
  <c r="G51" i="219"/>
  <c r="H51" i="219"/>
  <c r="I51" i="219"/>
  <c r="K51" i="219"/>
  <c r="O51" i="219"/>
  <c r="Q51" i="219"/>
  <c r="B52" i="219"/>
  <c r="C52" i="219"/>
  <c r="D52" i="219"/>
  <c r="E52" i="219"/>
  <c r="K52" i="219"/>
  <c r="M52" i="219"/>
  <c r="B53" i="219"/>
  <c r="C53" i="219"/>
  <c r="D53" i="219"/>
  <c r="E53" i="219"/>
  <c r="F53" i="219"/>
  <c r="G53" i="219"/>
  <c r="H53" i="219"/>
  <c r="I53" i="219"/>
  <c r="K53" i="219"/>
  <c r="M53" i="219"/>
  <c r="O53" i="219"/>
  <c r="Q53" i="219"/>
  <c r="B54" i="219"/>
  <c r="C54" i="219"/>
  <c r="D54" i="219"/>
  <c r="E54" i="219"/>
  <c r="F54" i="219"/>
  <c r="G54" i="219"/>
  <c r="H54" i="219"/>
  <c r="I54" i="219"/>
  <c r="K54" i="219"/>
  <c r="M54" i="219"/>
  <c r="O54" i="219"/>
  <c r="Q54" i="219"/>
  <c r="B56" i="219"/>
  <c r="B57" i="219"/>
  <c r="B58" i="219"/>
  <c r="B59" i="219"/>
  <c r="B60" i="219"/>
  <c r="E8" i="218"/>
  <c r="F8" i="218"/>
  <c r="B10" i="218"/>
  <c r="G10" i="218"/>
  <c r="H10" i="218"/>
  <c r="L10" i="218"/>
  <c r="F11" i="218"/>
  <c r="G11" i="218"/>
  <c r="P12" i="218"/>
  <c r="B21" i="218"/>
  <c r="C21" i="218"/>
  <c r="D21" i="218"/>
  <c r="E21" i="218"/>
  <c r="F21" i="218"/>
  <c r="G21" i="218"/>
  <c r="H21" i="218"/>
  <c r="J21" i="218"/>
  <c r="L21" i="218"/>
  <c r="N21" i="218"/>
  <c r="P21" i="218"/>
  <c r="B22" i="218"/>
  <c r="C22" i="218"/>
  <c r="D22" i="218"/>
  <c r="E22" i="218"/>
  <c r="F22" i="218"/>
  <c r="G22" i="218"/>
  <c r="H22" i="218"/>
  <c r="J22" i="218"/>
  <c r="N22" i="218"/>
  <c r="E23" i="218"/>
  <c r="B25" i="218"/>
  <c r="C25" i="218"/>
  <c r="D25" i="218"/>
  <c r="E25" i="218"/>
  <c r="F25" i="218"/>
  <c r="G25" i="218"/>
  <c r="H25" i="218"/>
  <c r="I25" i="218"/>
  <c r="J25" i="218"/>
  <c r="L25" i="218"/>
  <c r="N25" i="218"/>
  <c r="P25" i="218"/>
  <c r="B26" i="218"/>
  <c r="E26" i="218"/>
  <c r="F26" i="218"/>
  <c r="G26" i="218"/>
  <c r="H26" i="218"/>
  <c r="J26" i="218"/>
  <c r="L26" i="218"/>
  <c r="P26" i="218"/>
  <c r="E27" i="218"/>
  <c r="G27" i="218"/>
  <c r="H27" i="218"/>
  <c r="L27" i="218"/>
  <c r="B28" i="218"/>
  <c r="D28" i="218"/>
  <c r="E28" i="218"/>
  <c r="F28" i="218"/>
  <c r="G28" i="218"/>
  <c r="H28" i="218"/>
  <c r="I28" i="218"/>
  <c r="J28" i="218"/>
  <c r="N28" i="218"/>
  <c r="J30" i="218"/>
  <c r="J31" i="218"/>
  <c r="B34" i="218"/>
  <c r="C34" i="218"/>
  <c r="D34" i="218"/>
  <c r="E34" i="218"/>
  <c r="F34" i="218"/>
  <c r="G34" i="218"/>
  <c r="I34" i="218"/>
  <c r="J34" i="218"/>
  <c r="L34" i="218"/>
  <c r="N34" i="218"/>
  <c r="P34" i="218"/>
  <c r="B35" i="218"/>
  <c r="C35" i="218"/>
  <c r="D35" i="218"/>
  <c r="E35" i="218"/>
  <c r="F35" i="218"/>
  <c r="G35" i="218"/>
  <c r="H35" i="218"/>
  <c r="I35" i="218"/>
  <c r="J35" i="218"/>
  <c r="L35" i="218"/>
  <c r="N35" i="218"/>
  <c r="P35" i="218"/>
  <c r="C37" i="218"/>
  <c r="E37" i="218"/>
  <c r="B39" i="218"/>
  <c r="B40" i="218"/>
  <c r="B41" i="218"/>
  <c r="B43" i="218"/>
  <c r="C43" i="218"/>
  <c r="D43" i="218"/>
  <c r="E43" i="218"/>
  <c r="F43" i="218"/>
  <c r="G43" i="218"/>
  <c r="H43" i="218"/>
  <c r="I43" i="218"/>
  <c r="J43" i="218"/>
  <c r="L43" i="218"/>
  <c r="N43" i="218"/>
  <c r="P43" i="218"/>
  <c r="B45" i="218"/>
  <c r="E45" i="218"/>
  <c r="F45" i="218"/>
  <c r="G45" i="218"/>
  <c r="H45" i="218"/>
  <c r="I45" i="218"/>
  <c r="L45" i="218"/>
  <c r="P45" i="218"/>
  <c r="B46" i="218"/>
  <c r="E46" i="218"/>
  <c r="F46" i="218"/>
  <c r="G46" i="218"/>
  <c r="H46" i="218"/>
  <c r="I46" i="218"/>
  <c r="L46" i="218"/>
  <c r="P46" i="218"/>
  <c r="G47" i="218"/>
  <c r="H47" i="218"/>
  <c r="I47" i="218"/>
  <c r="G48" i="218"/>
  <c r="H48" i="218"/>
  <c r="I48" i="218"/>
  <c r="B49" i="218"/>
  <c r="E49" i="218"/>
  <c r="F49" i="218"/>
  <c r="G49" i="218"/>
  <c r="H49" i="218"/>
  <c r="I49" i="218"/>
  <c r="L49" i="218"/>
  <c r="P49" i="218"/>
  <c r="B50" i="218"/>
  <c r="E50" i="218"/>
  <c r="F50" i="218"/>
  <c r="G50" i="218"/>
  <c r="H50" i="218"/>
  <c r="I50" i="218"/>
  <c r="L50" i="218"/>
  <c r="P50" i="218"/>
  <c r="B52" i="218"/>
  <c r="B53" i="218"/>
  <c r="B54" i="218"/>
  <c r="B55" i="218"/>
  <c r="B58" i="218"/>
  <c r="C58" i="218"/>
  <c r="F58" i="218"/>
  <c r="N58" i="218"/>
  <c r="B59" i="218"/>
  <c r="C59" i="218"/>
  <c r="J59" i="218"/>
  <c r="N59" i="218"/>
  <c r="B60" i="218"/>
  <c r="F60" i="218"/>
  <c r="D61" i="218"/>
  <c r="E61" i="218"/>
  <c r="F61" i="218"/>
  <c r="B62" i="218"/>
  <c r="C62" i="218"/>
  <c r="H62" i="218"/>
  <c r="N62" i="218"/>
  <c r="H8" i="162"/>
  <c r="Q8" i="162"/>
  <c r="H9" i="162"/>
  <c r="Q9" i="162"/>
  <c r="H10" i="162"/>
  <c r="Q10" i="162"/>
  <c r="H11" i="162"/>
  <c r="Q11" i="162"/>
  <c r="H12" i="162"/>
  <c r="Q12" i="162"/>
  <c r="Q13" i="162"/>
  <c r="Q14" i="162"/>
  <c r="H15" i="162"/>
  <c r="Q15" i="162"/>
  <c r="H16" i="162"/>
  <c r="Q16" i="162"/>
  <c r="H17" i="162"/>
  <c r="Q17" i="162"/>
  <c r="H18" i="162"/>
  <c r="Q18" i="162"/>
  <c r="H19" i="162"/>
  <c r="Q19" i="162"/>
  <c r="H20" i="162"/>
  <c r="Q20" i="162"/>
  <c r="H21" i="162"/>
  <c r="Q25" i="162"/>
  <c r="F6" i="216"/>
  <c r="M6" i="216"/>
  <c r="F7" i="216"/>
  <c r="M7" i="216"/>
  <c r="F8" i="216"/>
  <c r="M9" i="216"/>
  <c r="F10" i="216"/>
  <c r="M10" i="216"/>
  <c r="F11" i="216"/>
  <c r="F12" i="216"/>
  <c r="M12" i="216"/>
  <c r="F13" i="216"/>
  <c r="F14" i="216"/>
  <c r="M14" i="216"/>
  <c r="F15" i="216"/>
  <c r="M15" i="216"/>
  <c r="F16" i="216"/>
  <c r="F17" i="216"/>
  <c r="F18" i="216"/>
  <c r="M18" i="216"/>
  <c r="F19" i="216"/>
  <c r="M19" i="216"/>
  <c r="F20" i="216"/>
  <c r="F21" i="216"/>
  <c r="M21" i="216"/>
  <c r="F22" i="216"/>
  <c r="M22" i="216"/>
  <c r="M23" i="216"/>
  <c r="F24" i="216"/>
  <c r="M24" i="216"/>
  <c r="F25" i="216"/>
  <c r="M25" i="216"/>
  <c r="M26" i="216"/>
  <c r="F27" i="216"/>
  <c r="M27" i="216"/>
  <c r="F28" i="216"/>
  <c r="M28" i="216"/>
  <c r="F29" i="216"/>
  <c r="M29" i="216"/>
  <c r="F30" i="216"/>
  <c r="F31" i="216"/>
  <c r="M31" i="216"/>
  <c r="F32" i="216"/>
  <c r="M32" i="216"/>
  <c r="F33" i="216"/>
  <c r="M33" i="216"/>
  <c r="F34" i="216"/>
  <c r="M34" i="216"/>
  <c r="F35" i="216"/>
  <c r="M35" i="216"/>
  <c r="F36" i="216"/>
  <c r="M36" i="216"/>
  <c r="F37" i="216"/>
  <c r="M37" i="216"/>
  <c r="M39" i="216"/>
  <c r="F40" i="216"/>
  <c r="M41" i="216"/>
  <c r="M42" i="216"/>
  <c r="F43" i="216"/>
  <c r="M43" i="216"/>
  <c r="F44" i="216"/>
  <c r="M44" i="216"/>
  <c r="F45" i="216"/>
  <c r="M45" i="216"/>
  <c r="F46" i="216"/>
  <c r="M46" i="216"/>
  <c r="M47" i="216"/>
  <c r="F48" i="216"/>
  <c r="F49" i="216"/>
  <c r="M49" i="216"/>
  <c r="F50" i="216"/>
  <c r="M50" i="216"/>
  <c r="F51" i="216"/>
  <c r="M51" i="216"/>
  <c r="M52" i="216"/>
  <c r="M53" i="216"/>
  <c r="F54" i="216"/>
  <c r="M54" i="216"/>
  <c r="F55" i="216"/>
  <c r="F57" i="216"/>
  <c r="G6" i="84"/>
  <c r="H6" i="84"/>
  <c r="P6" i="84"/>
  <c r="Q6" i="84"/>
  <c r="G7" i="84"/>
  <c r="H7" i="84"/>
  <c r="P7" i="84"/>
  <c r="Q7" i="84"/>
  <c r="P8" i="84"/>
  <c r="Q8" i="84"/>
  <c r="G9" i="84"/>
  <c r="P9" i="84"/>
  <c r="Q9" i="84"/>
  <c r="G10" i="84"/>
  <c r="P10" i="84"/>
  <c r="Q10" i="84"/>
  <c r="G11" i="84"/>
  <c r="H11" i="84"/>
  <c r="P11" i="84"/>
  <c r="Q11" i="84"/>
  <c r="G12" i="84"/>
  <c r="H12" i="84"/>
  <c r="P12" i="84"/>
  <c r="P13" i="84"/>
  <c r="G14" i="84"/>
  <c r="P14" i="84"/>
  <c r="G15" i="84"/>
  <c r="P15" i="84"/>
  <c r="G16" i="84"/>
  <c r="P16" i="84"/>
  <c r="G17" i="84"/>
  <c r="H17" i="84"/>
  <c r="P17" i="84"/>
  <c r="G18" i="84"/>
  <c r="H18" i="84"/>
  <c r="P18" i="84"/>
  <c r="G19" i="84"/>
  <c r="H19" i="84"/>
  <c r="P19" i="84"/>
  <c r="Q19" i="84"/>
  <c r="P20" i="84"/>
  <c r="Q20" i="84"/>
  <c r="G21" i="84"/>
  <c r="H21" i="84"/>
  <c r="P21" i="84"/>
  <c r="P22" i="84"/>
  <c r="P23" i="84"/>
  <c r="Q23" i="84"/>
  <c r="C8" i="76"/>
  <c r="F8" i="76"/>
  <c r="G8" i="76"/>
  <c r="C9" i="76"/>
  <c r="F9" i="76"/>
  <c r="G9" i="76"/>
  <c r="L9" i="76"/>
  <c r="C10" i="76"/>
  <c r="F10" i="76"/>
  <c r="G10" i="76"/>
  <c r="L10" i="76"/>
  <c r="C11" i="76"/>
  <c r="F11" i="76"/>
  <c r="G11" i="76"/>
  <c r="C12" i="76"/>
  <c r="F12" i="76"/>
  <c r="G12" i="76"/>
  <c r="C13" i="76"/>
  <c r="F13" i="76"/>
  <c r="G13" i="76"/>
  <c r="C14" i="76"/>
  <c r="F14" i="76"/>
  <c r="G14" i="76"/>
  <c r="C15" i="76"/>
  <c r="F15" i="76"/>
  <c r="G15" i="76"/>
  <c r="C16" i="76"/>
  <c r="F16" i="76"/>
  <c r="G16" i="76"/>
  <c r="C17" i="76"/>
  <c r="F17" i="76"/>
  <c r="G17" i="76"/>
  <c r="L17" i="76"/>
  <c r="C18" i="76"/>
  <c r="F18" i="76"/>
  <c r="G18" i="76"/>
  <c r="C19" i="76"/>
  <c r="F19" i="76"/>
  <c r="G19" i="76"/>
  <c r="C20" i="76"/>
  <c r="F20" i="76"/>
  <c r="G20" i="76"/>
  <c r="C21" i="76"/>
  <c r="F21" i="76"/>
  <c r="G21" i="76"/>
  <c r="C22" i="76"/>
  <c r="F22" i="76"/>
  <c r="G22" i="76"/>
  <c r="C23" i="76"/>
  <c r="F23" i="76"/>
  <c r="G23" i="76"/>
  <c r="C24" i="76"/>
  <c r="F24" i="76"/>
  <c r="G24" i="76"/>
  <c r="C25" i="76"/>
  <c r="F25" i="76"/>
  <c r="G25" i="76"/>
  <c r="C26" i="76"/>
  <c r="F26" i="76"/>
  <c r="G26" i="76"/>
  <c r="L26" i="76"/>
  <c r="C27" i="76"/>
  <c r="F27" i="76"/>
  <c r="G27" i="76"/>
  <c r="L27" i="76"/>
  <c r="A28" i="76"/>
  <c r="D38" i="76"/>
  <c r="E38" i="76"/>
  <c r="F38" i="76"/>
  <c r="H38" i="76"/>
  <c r="J38" i="76"/>
  <c r="K38" i="76"/>
  <c r="M38" i="76"/>
  <c r="N38" i="76"/>
  <c r="O38" i="76"/>
  <c r="D39" i="76"/>
  <c r="E39" i="76"/>
  <c r="H39" i="76"/>
  <c r="J39" i="76"/>
  <c r="M39" i="76"/>
  <c r="N39" i="76"/>
  <c r="D40" i="76"/>
  <c r="E40" i="76"/>
  <c r="F40" i="76"/>
  <c r="G40" i="76"/>
  <c r="H40" i="76"/>
  <c r="J40" i="76"/>
  <c r="K40" i="76"/>
  <c r="L40" i="76"/>
  <c r="M40" i="76"/>
  <c r="N40" i="76"/>
  <c r="O40" i="76"/>
  <c r="P40" i="76"/>
  <c r="D41" i="76"/>
  <c r="E41" i="76"/>
  <c r="F41" i="76"/>
  <c r="H41" i="76"/>
  <c r="J41" i="76"/>
  <c r="K41" i="76"/>
  <c r="M41" i="76"/>
  <c r="N41" i="76"/>
  <c r="O41" i="76"/>
  <c r="D42" i="76"/>
  <c r="E42" i="76"/>
  <c r="F42" i="76"/>
  <c r="H42" i="76"/>
  <c r="J42" i="76"/>
  <c r="K42" i="76"/>
  <c r="M42" i="76"/>
  <c r="N42" i="76"/>
  <c r="O42" i="76"/>
  <c r="D43" i="76"/>
  <c r="E43" i="76"/>
  <c r="F43" i="76"/>
  <c r="H43" i="76"/>
  <c r="J43" i="76"/>
  <c r="K43" i="76"/>
  <c r="M43" i="76"/>
  <c r="N43" i="76"/>
  <c r="O43" i="76"/>
  <c r="E44" i="76"/>
  <c r="F44" i="76"/>
  <c r="G44" i="76"/>
  <c r="J44" i="76"/>
  <c r="K44" i="76"/>
  <c r="L44" i="76"/>
  <c r="N44" i="76"/>
  <c r="O44" i="76"/>
  <c r="P44" i="76"/>
  <c r="D45" i="76"/>
  <c r="E45" i="76"/>
  <c r="F45" i="76"/>
  <c r="G45" i="76"/>
  <c r="H45" i="76"/>
  <c r="J45" i="76"/>
  <c r="K45" i="76"/>
  <c r="L45" i="76"/>
  <c r="M45" i="76"/>
  <c r="N45" i="76"/>
  <c r="O45" i="76"/>
  <c r="P45" i="76"/>
  <c r="D46" i="76"/>
  <c r="E46" i="76"/>
  <c r="H46" i="76"/>
  <c r="J46" i="76"/>
  <c r="M46" i="76"/>
  <c r="N46" i="76"/>
  <c r="E47" i="76"/>
  <c r="J47" i="76"/>
  <c r="N47" i="76"/>
  <c r="E48" i="76"/>
  <c r="J48" i="76"/>
  <c r="N48" i="76"/>
  <c r="A49" i="76"/>
  <c r="Y5" i="176"/>
  <c r="X5" i="176"/>
  <c r="N6" i="176"/>
  <c r="O6" i="176"/>
  <c r="Y6" i="176"/>
  <c r="X6" i="176"/>
  <c r="N7" i="176"/>
  <c r="O7" i="176"/>
  <c r="Y7" i="176"/>
  <c r="X7" i="176"/>
  <c r="N8" i="176"/>
  <c r="O8" i="176"/>
  <c r="Y8" i="176"/>
  <c r="X8" i="176"/>
  <c r="N9" i="176"/>
  <c r="O9" i="176"/>
  <c r="N10" i="176"/>
  <c r="O10" i="176"/>
  <c r="X10" i="176"/>
  <c r="N11" i="176"/>
  <c r="O11" i="176"/>
  <c r="X12" i="176"/>
  <c r="N13" i="176"/>
  <c r="O13" i="176"/>
  <c r="N14" i="176"/>
  <c r="O14" i="176"/>
  <c r="X14" i="176"/>
  <c r="Y14" i="176"/>
  <c r="X15" i="176"/>
  <c r="Y15" i="176"/>
  <c r="O16" i="176"/>
  <c r="N16" i="176"/>
  <c r="X17" i="176"/>
  <c r="X18" i="176"/>
  <c r="O19" i="176"/>
  <c r="N19" i="176"/>
  <c r="X19" i="176"/>
  <c r="O20" i="176"/>
  <c r="N20" i="176"/>
  <c r="X20" i="176"/>
  <c r="X21" i="176"/>
  <c r="X23" i="176"/>
  <c r="X24" i="176"/>
  <c r="X25" i="176"/>
  <c r="X26" i="176"/>
  <c r="X27" i="176"/>
  <c r="G30" i="176"/>
  <c r="G31" i="176"/>
  <c r="O39" i="176"/>
  <c r="O40" i="176"/>
  <c r="N41" i="176"/>
  <c r="O41" i="176"/>
  <c r="X41" i="176"/>
  <c r="O42" i="176"/>
  <c r="O43" i="176"/>
  <c r="Y43" i="176"/>
  <c r="X43" i="176"/>
  <c r="O44" i="176"/>
  <c r="Y45" i="176"/>
  <c r="X45" i="176"/>
  <c r="O46" i="176"/>
  <c r="Y46" i="176"/>
  <c r="X46" i="176"/>
  <c r="O47" i="176"/>
  <c r="Y47" i="176"/>
  <c r="X47" i="176"/>
  <c r="Y49" i="176"/>
  <c r="X49" i="176"/>
  <c r="Y50" i="176"/>
  <c r="X50" i="176"/>
  <c r="E12" i="133"/>
  <c r="F12" i="133"/>
  <c r="G12" i="133"/>
  <c r="H12" i="133"/>
  <c r="I12" i="133"/>
  <c r="J12" i="133"/>
  <c r="K12" i="133"/>
  <c r="L12" i="133"/>
  <c r="M12" i="133"/>
  <c r="N12" i="133"/>
  <c r="O12" i="133"/>
  <c r="P12" i="133"/>
  <c r="R12" i="133"/>
  <c r="S12" i="133"/>
  <c r="T12" i="133"/>
  <c r="U12" i="133"/>
  <c r="E13" i="133"/>
  <c r="F13" i="133"/>
  <c r="G13" i="133"/>
  <c r="H13" i="133"/>
  <c r="I13" i="133"/>
  <c r="J13" i="133"/>
  <c r="L13" i="133"/>
  <c r="M13" i="133"/>
  <c r="N13" i="133"/>
  <c r="O13" i="133"/>
  <c r="P13" i="133"/>
  <c r="R13" i="133"/>
  <c r="S13" i="133"/>
  <c r="T13" i="133"/>
  <c r="U13" i="133"/>
  <c r="E14" i="133"/>
  <c r="F14" i="133"/>
  <c r="G14" i="133"/>
  <c r="H14" i="133"/>
  <c r="I14" i="133"/>
  <c r="J14" i="133"/>
  <c r="L14" i="133"/>
  <c r="M14" i="133"/>
  <c r="N14" i="133"/>
  <c r="O14" i="133"/>
  <c r="P14" i="133"/>
  <c r="R14" i="133"/>
  <c r="S14" i="133"/>
  <c r="T14" i="133"/>
  <c r="U14" i="133"/>
  <c r="E16" i="133"/>
  <c r="F16" i="133"/>
  <c r="G16" i="133"/>
  <c r="H16" i="133"/>
  <c r="I16" i="133"/>
  <c r="J16" i="133"/>
  <c r="K16" i="133"/>
  <c r="L16" i="133"/>
  <c r="M16" i="133"/>
  <c r="N16" i="133"/>
  <c r="O16" i="133"/>
  <c r="P16" i="133"/>
  <c r="Q16" i="133"/>
  <c r="R16" i="133"/>
  <c r="S16" i="133"/>
  <c r="T16" i="133"/>
  <c r="U16" i="133"/>
  <c r="V16" i="133"/>
  <c r="E17" i="133"/>
  <c r="F17" i="133"/>
  <c r="G17" i="133"/>
  <c r="H17" i="133"/>
  <c r="I17" i="133"/>
  <c r="J17" i="133"/>
  <c r="K17" i="133"/>
  <c r="L17" i="133"/>
  <c r="M17" i="133"/>
  <c r="N17" i="133"/>
  <c r="O17" i="133"/>
  <c r="P17" i="133"/>
  <c r="Q17" i="133"/>
  <c r="R17" i="133"/>
  <c r="S17" i="133"/>
  <c r="T17" i="133"/>
  <c r="U17" i="133"/>
  <c r="V17" i="133"/>
  <c r="P20" i="133"/>
  <c r="T20" i="133"/>
  <c r="E21" i="133"/>
  <c r="F21" i="133"/>
  <c r="G21" i="133"/>
  <c r="H21" i="133"/>
  <c r="I21" i="133"/>
  <c r="J21" i="133"/>
  <c r="K21" i="133"/>
  <c r="L21" i="133"/>
  <c r="M21" i="133"/>
  <c r="N21" i="133"/>
  <c r="O21" i="133"/>
  <c r="P21" i="133"/>
  <c r="T21" i="133"/>
  <c r="R21" i="133"/>
  <c r="E22" i="133"/>
  <c r="F22" i="133"/>
  <c r="G22" i="133"/>
  <c r="H22" i="133"/>
  <c r="I22" i="133"/>
  <c r="J22" i="133"/>
  <c r="K22" i="133"/>
  <c r="L22" i="133"/>
  <c r="M22" i="133"/>
  <c r="N22" i="133"/>
  <c r="O22" i="133"/>
  <c r="P22" i="133"/>
  <c r="R22" i="133"/>
  <c r="T22" i="133"/>
  <c r="E23" i="133"/>
  <c r="F23" i="133"/>
  <c r="G23" i="133"/>
  <c r="H23" i="133"/>
  <c r="I23" i="133"/>
  <c r="J23" i="133"/>
  <c r="K23" i="133"/>
  <c r="L23" i="133"/>
  <c r="M23" i="133"/>
  <c r="N23" i="133"/>
  <c r="O23" i="133"/>
  <c r="P23" i="133"/>
  <c r="T23" i="133"/>
  <c r="R23" i="133"/>
  <c r="E24" i="133"/>
  <c r="F24" i="133"/>
  <c r="G24" i="133"/>
  <c r="H24" i="133"/>
  <c r="I24" i="133"/>
  <c r="J24" i="133"/>
  <c r="K24" i="133"/>
  <c r="L24" i="133"/>
  <c r="M24" i="133"/>
  <c r="N24" i="133"/>
  <c r="O24" i="133"/>
  <c r="P24" i="133"/>
  <c r="T24" i="133"/>
  <c r="R24" i="133"/>
  <c r="E25" i="133"/>
  <c r="F25" i="133"/>
  <c r="G25" i="133"/>
  <c r="H25" i="133"/>
  <c r="I25" i="133"/>
  <c r="J25" i="133"/>
  <c r="K25" i="133"/>
  <c r="L25" i="133"/>
  <c r="M25" i="133"/>
  <c r="N25" i="133"/>
  <c r="O25" i="133"/>
  <c r="P25" i="133"/>
  <c r="T25" i="133"/>
  <c r="R25" i="133"/>
  <c r="E30" i="133"/>
  <c r="F30" i="133"/>
  <c r="G30" i="133"/>
  <c r="H30" i="133"/>
  <c r="I30" i="133"/>
  <c r="J30" i="133"/>
  <c r="K30" i="133"/>
  <c r="L30" i="133"/>
  <c r="M30" i="133"/>
  <c r="N30" i="133"/>
  <c r="O30" i="133"/>
  <c r="P30" i="133"/>
  <c r="Q30" i="133"/>
  <c r="R30" i="133"/>
  <c r="F33" i="133"/>
  <c r="U34" i="133"/>
  <c r="F35" i="133"/>
  <c r="F36" i="133"/>
  <c r="U36" i="133"/>
  <c r="U37" i="133"/>
  <c r="F38" i="133"/>
  <c r="U38" i="133"/>
  <c r="F39" i="133"/>
  <c r="U39" i="133"/>
  <c r="F40" i="133"/>
  <c r="F41" i="133"/>
  <c r="U41" i="133"/>
  <c r="U42" i="133"/>
  <c r="F43" i="133"/>
  <c r="U43" i="133"/>
  <c r="F44" i="133"/>
  <c r="F45" i="133"/>
  <c r="U45" i="133"/>
  <c r="F46" i="133"/>
  <c r="U46" i="133"/>
  <c r="F47" i="133"/>
  <c r="F48" i="133"/>
  <c r="U48" i="133"/>
  <c r="F49" i="133"/>
  <c r="U49" i="133"/>
  <c r="U50" i="133"/>
  <c r="U51" i="133"/>
  <c r="U52" i="133"/>
  <c r="U53" i="133"/>
  <c r="L61" i="133"/>
  <c r="A64" i="133"/>
  <c r="M69" i="133"/>
  <c r="U69" i="133"/>
  <c r="E10" i="168"/>
  <c r="F10" i="168"/>
  <c r="G10" i="168"/>
  <c r="H10" i="168"/>
  <c r="I10" i="168"/>
  <c r="J10" i="168"/>
  <c r="K10" i="168"/>
  <c r="L10" i="168"/>
  <c r="M10" i="168"/>
  <c r="N10" i="168"/>
  <c r="O10" i="168"/>
  <c r="P10" i="168"/>
  <c r="Q10" i="168"/>
  <c r="R10" i="168"/>
  <c r="S10" i="168"/>
  <c r="T10" i="168"/>
  <c r="E12" i="168"/>
  <c r="F12" i="168"/>
  <c r="G12" i="168"/>
  <c r="H12" i="168"/>
  <c r="I12" i="168"/>
  <c r="J12" i="168"/>
  <c r="K12" i="168"/>
  <c r="L12" i="168"/>
  <c r="M12" i="168"/>
  <c r="N12" i="168"/>
  <c r="O12" i="168"/>
  <c r="P12" i="168"/>
  <c r="Q12" i="168"/>
  <c r="R12" i="168"/>
  <c r="E13" i="168"/>
  <c r="F13" i="168"/>
  <c r="G13" i="168"/>
  <c r="H13" i="168"/>
  <c r="I13" i="168"/>
  <c r="J13" i="168"/>
  <c r="K13" i="168"/>
  <c r="L13" i="168"/>
  <c r="M13" i="168"/>
  <c r="N13" i="168"/>
  <c r="O13" i="168"/>
  <c r="P13" i="168"/>
  <c r="Q13" i="168"/>
  <c r="R13" i="168"/>
  <c r="E14" i="168"/>
  <c r="F14" i="168"/>
  <c r="G14" i="168"/>
  <c r="H14" i="168"/>
  <c r="I14" i="168"/>
  <c r="J14" i="168"/>
  <c r="K14" i="168"/>
  <c r="L14" i="168"/>
  <c r="M14" i="168"/>
  <c r="N14" i="168"/>
  <c r="O14" i="168"/>
  <c r="P14" i="168"/>
  <c r="Q14" i="168"/>
  <c r="R14" i="168"/>
  <c r="E15" i="168"/>
  <c r="F15" i="168"/>
  <c r="G15" i="168"/>
  <c r="H15" i="168"/>
  <c r="I15" i="168"/>
  <c r="J15" i="168"/>
  <c r="K15" i="168"/>
  <c r="L15" i="168"/>
  <c r="M15" i="168"/>
  <c r="N15" i="168"/>
  <c r="O15" i="168"/>
  <c r="P15" i="168"/>
  <c r="Q15" i="168"/>
  <c r="R15" i="168"/>
  <c r="E16" i="168"/>
  <c r="F16" i="168"/>
  <c r="G16" i="168"/>
  <c r="H16" i="168"/>
  <c r="I16" i="168"/>
  <c r="J16" i="168"/>
  <c r="K16" i="168"/>
  <c r="L16" i="168"/>
  <c r="M16" i="168"/>
  <c r="N16" i="168"/>
  <c r="O16" i="168"/>
  <c r="P16" i="168"/>
  <c r="Q16" i="168"/>
  <c r="R16" i="168"/>
  <c r="E17" i="168"/>
  <c r="F17" i="168"/>
  <c r="G17" i="168"/>
  <c r="H17" i="168"/>
  <c r="I17" i="168"/>
  <c r="J17" i="168"/>
  <c r="K17" i="168"/>
  <c r="L17" i="168"/>
  <c r="M17" i="168"/>
  <c r="N17" i="168"/>
  <c r="O17" i="168"/>
  <c r="P17" i="168"/>
  <c r="Q17" i="168"/>
  <c r="R17" i="168"/>
  <c r="E18" i="168"/>
  <c r="F18" i="168"/>
  <c r="G18" i="168"/>
  <c r="H18" i="168"/>
  <c r="I18" i="168"/>
  <c r="J18" i="168"/>
  <c r="K18" i="168"/>
  <c r="L18" i="168"/>
  <c r="M18" i="168"/>
  <c r="N18" i="168"/>
  <c r="O18" i="168"/>
  <c r="P18" i="168"/>
  <c r="Q18" i="168"/>
  <c r="R18" i="168"/>
  <c r="E19" i="168"/>
  <c r="F19" i="168"/>
  <c r="G19" i="168"/>
  <c r="H19" i="168"/>
  <c r="I19" i="168"/>
  <c r="J19" i="168"/>
  <c r="L19" i="168"/>
  <c r="M19" i="168"/>
  <c r="O19" i="168"/>
  <c r="Q19" i="168"/>
  <c r="R19" i="168"/>
  <c r="E20" i="168"/>
  <c r="F20" i="168"/>
  <c r="G20" i="168"/>
  <c r="H20" i="168"/>
  <c r="I20" i="168"/>
  <c r="J20" i="168"/>
  <c r="L20" i="168"/>
  <c r="M20" i="168"/>
  <c r="O20" i="168"/>
  <c r="Q20" i="168"/>
  <c r="R20" i="168"/>
  <c r="E21" i="168"/>
  <c r="F21" i="168"/>
  <c r="G21" i="168"/>
  <c r="H21" i="168"/>
  <c r="I21" i="168"/>
  <c r="J21" i="168"/>
  <c r="L21" i="168"/>
  <c r="M21" i="168"/>
  <c r="O21" i="168"/>
  <c r="Q21" i="168"/>
  <c r="R21" i="168"/>
  <c r="E22" i="168"/>
  <c r="F22" i="168"/>
  <c r="G22" i="168"/>
  <c r="H22" i="168"/>
  <c r="I22" i="168"/>
  <c r="J22" i="168"/>
  <c r="L22" i="168"/>
  <c r="M22" i="168"/>
  <c r="O22" i="168"/>
  <c r="Q22" i="168"/>
  <c r="R22" i="168"/>
  <c r="E23" i="168"/>
  <c r="F23" i="168"/>
  <c r="G23" i="168"/>
  <c r="H23" i="168"/>
  <c r="I23" i="168"/>
  <c r="J23" i="168"/>
  <c r="K23" i="168"/>
  <c r="L23" i="168"/>
  <c r="M23" i="168"/>
  <c r="N23" i="168"/>
  <c r="O23" i="168"/>
  <c r="P23" i="168"/>
  <c r="Q23" i="168"/>
  <c r="R23" i="168"/>
  <c r="E24" i="168"/>
  <c r="F24" i="168"/>
  <c r="G24" i="168"/>
  <c r="H24" i="168"/>
  <c r="I24" i="168"/>
  <c r="J24" i="168"/>
  <c r="K24" i="168"/>
  <c r="L24" i="168"/>
  <c r="M24" i="168"/>
  <c r="N24" i="168"/>
  <c r="O24" i="168"/>
  <c r="P24" i="168"/>
  <c r="Q24" i="168"/>
  <c r="R24" i="168"/>
  <c r="E25" i="168"/>
  <c r="F25" i="168"/>
  <c r="G25" i="168"/>
  <c r="H25" i="168"/>
  <c r="I25" i="168"/>
  <c r="J25" i="168"/>
  <c r="K25" i="168"/>
  <c r="L25" i="168"/>
  <c r="M25" i="168"/>
  <c r="N25" i="168"/>
  <c r="O25" i="168"/>
  <c r="P25" i="168"/>
  <c r="Q25" i="168"/>
  <c r="R25" i="168"/>
  <c r="E26" i="168"/>
  <c r="F26" i="168"/>
  <c r="G26" i="168"/>
  <c r="H26" i="168"/>
  <c r="I26" i="168"/>
  <c r="J26" i="168"/>
  <c r="K26" i="168"/>
  <c r="L26" i="168"/>
  <c r="M26" i="168"/>
  <c r="N26" i="168"/>
  <c r="O26" i="168"/>
  <c r="P26" i="168"/>
  <c r="Q26" i="168"/>
  <c r="R26" i="168"/>
  <c r="E27" i="168"/>
  <c r="F27" i="168"/>
  <c r="G27" i="168"/>
  <c r="H27" i="168"/>
  <c r="I27" i="168"/>
  <c r="J27" i="168"/>
  <c r="K27" i="168"/>
  <c r="L27" i="168"/>
  <c r="M27" i="168"/>
  <c r="N27" i="168"/>
  <c r="O27" i="168"/>
  <c r="P27" i="168"/>
  <c r="Q27" i="168"/>
  <c r="R27" i="168"/>
  <c r="E28" i="168"/>
  <c r="F28" i="168"/>
  <c r="G28" i="168"/>
  <c r="H28" i="168"/>
  <c r="I28" i="168"/>
  <c r="J28" i="168"/>
  <c r="K28" i="168"/>
  <c r="L28" i="168"/>
  <c r="M28" i="168"/>
  <c r="N28" i="168"/>
  <c r="O28" i="168"/>
  <c r="P28" i="168"/>
  <c r="Q28" i="168"/>
  <c r="R28" i="168"/>
  <c r="E29" i="168"/>
  <c r="F29" i="168"/>
  <c r="G29" i="168"/>
  <c r="H29" i="168"/>
  <c r="I29" i="168"/>
  <c r="J29" i="168"/>
  <c r="K29" i="168"/>
  <c r="L29" i="168"/>
  <c r="M29" i="168"/>
  <c r="N29" i="168"/>
  <c r="O29" i="168"/>
  <c r="P29" i="168"/>
  <c r="Q29" i="168"/>
  <c r="R29" i="168"/>
  <c r="E30" i="168"/>
  <c r="F30" i="168"/>
  <c r="G30" i="168"/>
  <c r="H30" i="168"/>
  <c r="I30" i="168"/>
  <c r="J30" i="168"/>
  <c r="K30" i="168"/>
  <c r="L30" i="168"/>
  <c r="M30" i="168"/>
  <c r="N30" i="168"/>
  <c r="O30" i="168"/>
  <c r="P30" i="168"/>
  <c r="Q30" i="168"/>
  <c r="R30" i="168"/>
  <c r="E31" i="168"/>
  <c r="F31" i="168"/>
  <c r="G31" i="168"/>
  <c r="H31" i="168"/>
  <c r="I31" i="168"/>
  <c r="J31" i="168"/>
  <c r="K31" i="168"/>
  <c r="L31" i="168"/>
  <c r="M31" i="168"/>
  <c r="N31" i="168"/>
  <c r="O31" i="168"/>
  <c r="P31" i="168"/>
  <c r="Q31" i="168"/>
  <c r="R31" i="168"/>
  <c r="E32" i="168"/>
  <c r="F32" i="168"/>
  <c r="G32" i="168"/>
  <c r="H32" i="168"/>
  <c r="I32" i="168"/>
  <c r="J32" i="168"/>
  <c r="K32" i="168"/>
  <c r="L32" i="168"/>
  <c r="M32" i="168"/>
  <c r="N32" i="168"/>
  <c r="O32" i="168"/>
  <c r="P32" i="168"/>
  <c r="Q32" i="168"/>
  <c r="R32" i="168"/>
  <c r="E33" i="168"/>
  <c r="F33" i="168"/>
  <c r="G33" i="168"/>
  <c r="H33" i="168"/>
  <c r="I33" i="168"/>
  <c r="J33" i="168"/>
  <c r="K33" i="168"/>
  <c r="L33" i="168"/>
  <c r="M33" i="168"/>
  <c r="N33" i="168"/>
  <c r="O33" i="168"/>
  <c r="P33" i="168"/>
  <c r="Q33" i="168"/>
  <c r="R33" i="168"/>
  <c r="E34" i="168"/>
  <c r="F34" i="168"/>
  <c r="G34" i="168"/>
  <c r="H34" i="168"/>
  <c r="I34" i="168"/>
  <c r="J34" i="168"/>
  <c r="K34" i="168"/>
  <c r="L34" i="168"/>
  <c r="M34" i="168"/>
  <c r="N34" i="168"/>
  <c r="O34" i="168"/>
  <c r="P34" i="168"/>
  <c r="Q34" i="168"/>
  <c r="R34" i="168"/>
  <c r="E36" i="168"/>
  <c r="F36" i="168"/>
  <c r="H36" i="168"/>
  <c r="I36" i="168"/>
  <c r="J36" i="168"/>
  <c r="K36" i="168"/>
  <c r="L36" i="168"/>
  <c r="M36" i="168"/>
  <c r="N36" i="168"/>
  <c r="O36" i="168"/>
  <c r="P36" i="168"/>
  <c r="Q36" i="168"/>
  <c r="R36" i="168"/>
  <c r="E37" i="168"/>
  <c r="F37" i="168"/>
  <c r="G37" i="168"/>
  <c r="H37" i="168"/>
  <c r="I37" i="168"/>
  <c r="J37" i="168"/>
  <c r="K37" i="168"/>
  <c r="L37" i="168"/>
  <c r="M37" i="168"/>
  <c r="N37" i="168"/>
  <c r="O37" i="168"/>
  <c r="P37" i="168"/>
  <c r="Q37" i="168"/>
  <c r="R37" i="168"/>
  <c r="E38" i="168"/>
  <c r="F38" i="168"/>
  <c r="G38" i="168"/>
  <c r="H38" i="168"/>
  <c r="I38" i="168"/>
  <c r="J38" i="168"/>
  <c r="K38" i="168"/>
  <c r="L38" i="168"/>
  <c r="M38" i="168"/>
  <c r="N38" i="168"/>
  <c r="O38" i="168"/>
  <c r="P38" i="168"/>
  <c r="Q38" i="168"/>
  <c r="R38" i="168"/>
  <c r="E39" i="168"/>
  <c r="F39" i="168"/>
  <c r="G39" i="168"/>
  <c r="H39" i="168"/>
  <c r="I39" i="168"/>
  <c r="J39" i="168"/>
  <c r="K39" i="168"/>
  <c r="L39" i="168"/>
  <c r="M39" i="168"/>
  <c r="N39" i="168"/>
  <c r="O39" i="168"/>
  <c r="P39" i="168"/>
  <c r="Q39" i="168"/>
  <c r="R39" i="168"/>
  <c r="E40" i="168"/>
  <c r="F40" i="168"/>
  <c r="G40" i="168"/>
  <c r="H40" i="168"/>
  <c r="I40" i="168"/>
  <c r="J40" i="168"/>
  <c r="K40" i="168"/>
  <c r="L40" i="168"/>
  <c r="M40" i="168"/>
  <c r="N40" i="168"/>
  <c r="O40" i="168"/>
  <c r="P40" i="168"/>
  <c r="Q40" i="168"/>
  <c r="R40" i="168"/>
  <c r="E41" i="168"/>
  <c r="F41" i="168"/>
  <c r="G41" i="168"/>
  <c r="H41" i="168"/>
  <c r="I41" i="168"/>
  <c r="J41" i="168"/>
  <c r="K41" i="168"/>
  <c r="L41" i="168"/>
  <c r="M41" i="168"/>
  <c r="N41" i="168"/>
  <c r="O41" i="168"/>
  <c r="P41" i="168"/>
  <c r="Q41" i="168"/>
  <c r="R41" i="168"/>
  <c r="E42" i="168"/>
  <c r="F42" i="168"/>
  <c r="G42" i="168"/>
  <c r="H42" i="168"/>
  <c r="I42" i="168"/>
  <c r="J42" i="168"/>
  <c r="K42" i="168"/>
  <c r="L42" i="168"/>
  <c r="M42" i="168"/>
  <c r="N42" i="168"/>
  <c r="O42" i="168"/>
  <c r="P42" i="168"/>
  <c r="Q42" i="168"/>
  <c r="R42" i="168"/>
  <c r="E44" i="168"/>
  <c r="F44" i="168"/>
  <c r="G44" i="168"/>
  <c r="H44" i="168"/>
  <c r="I44" i="168"/>
  <c r="J44" i="168"/>
  <c r="K44" i="168"/>
  <c r="L44" i="168"/>
  <c r="M44" i="168"/>
  <c r="N44" i="168"/>
  <c r="O44" i="168"/>
  <c r="P44" i="168"/>
  <c r="Q44" i="168"/>
  <c r="R44" i="168"/>
  <c r="E45" i="168"/>
  <c r="F45" i="168"/>
  <c r="G45" i="168"/>
  <c r="H45" i="168"/>
  <c r="I45" i="168"/>
  <c r="J45" i="168"/>
  <c r="K45" i="168"/>
  <c r="L45" i="168"/>
  <c r="M45" i="168"/>
  <c r="N45" i="168"/>
  <c r="O45" i="168"/>
  <c r="P45" i="168"/>
  <c r="Q45" i="168"/>
  <c r="R45" i="168"/>
  <c r="E46" i="168"/>
  <c r="F46" i="168"/>
  <c r="G46" i="168"/>
  <c r="H46" i="168"/>
  <c r="I46" i="168"/>
  <c r="J46" i="168"/>
  <c r="K46" i="168"/>
  <c r="L46" i="168"/>
  <c r="M46" i="168"/>
  <c r="N46" i="168"/>
  <c r="O46" i="168"/>
  <c r="P46" i="168"/>
  <c r="Q46" i="168"/>
  <c r="R46" i="168"/>
  <c r="E47" i="168"/>
  <c r="F47" i="168"/>
  <c r="G47" i="168"/>
  <c r="H47" i="168"/>
  <c r="I47" i="168"/>
  <c r="J47" i="168"/>
  <c r="K47" i="168"/>
  <c r="L47" i="168"/>
  <c r="M47" i="168"/>
  <c r="N47" i="168"/>
  <c r="O47" i="168"/>
  <c r="P47" i="168"/>
  <c r="Q47" i="168"/>
  <c r="R47" i="168"/>
  <c r="E48" i="168"/>
  <c r="F48" i="168"/>
  <c r="G48" i="168"/>
  <c r="H48" i="168"/>
  <c r="I48" i="168"/>
  <c r="J48" i="168"/>
  <c r="K48" i="168"/>
  <c r="L48" i="168"/>
  <c r="M48" i="168"/>
  <c r="N48" i="168"/>
  <c r="O48" i="168"/>
  <c r="P48" i="168"/>
  <c r="Q48" i="168"/>
  <c r="R48" i="168"/>
  <c r="E49" i="168"/>
  <c r="F49" i="168"/>
  <c r="G49" i="168"/>
  <c r="H49" i="168"/>
  <c r="I49" i="168"/>
  <c r="J49" i="168"/>
  <c r="K49" i="168"/>
  <c r="L49" i="168"/>
  <c r="M49" i="168"/>
  <c r="N49" i="168"/>
  <c r="O49" i="168"/>
  <c r="P49" i="168"/>
  <c r="Q49" i="168"/>
  <c r="R49" i="168"/>
  <c r="E50" i="168"/>
  <c r="F50" i="168"/>
  <c r="G50" i="168"/>
  <c r="H50" i="168"/>
  <c r="I50" i="168"/>
  <c r="J50" i="168"/>
  <c r="K50" i="168"/>
  <c r="L50" i="168"/>
  <c r="M50" i="168"/>
  <c r="N50" i="168"/>
  <c r="O50" i="168"/>
  <c r="P50" i="168"/>
  <c r="Q50" i="168"/>
  <c r="R50" i="168"/>
  <c r="E51" i="168"/>
  <c r="F51" i="168"/>
  <c r="G51" i="168"/>
  <c r="H51" i="168"/>
  <c r="I51" i="168"/>
  <c r="J51" i="168"/>
  <c r="K51" i="168"/>
  <c r="L51" i="168"/>
  <c r="M51" i="168"/>
  <c r="N51" i="168"/>
  <c r="O51" i="168"/>
  <c r="P51" i="168"/>
  <c r="Q51" i="168"/>
  <c r="R51" i="168"/>
  <c r="E55" i="168"/>
  <c r="F55" i="168"/>
  <c r="G55" i="168"/>
  <c r="H55" i="168"/>
  <c r="I55" i="168"/>
  <c r="J55" i="168"/>
  <c r="K55" i="168"/>
  <c r="L55" i="168"/>
  <c r="M55" i="168"/>
  <c r="N55" i="168"/>
  <c r="O55" i="168"/>
  <c r="P55" i="168"/>
  <c r="Q55" i="168"/>
  <c r="R55" i="168"/>
  <c r="S55" i="168"/>
  <c r="T55" i="168"/>
  <c r="E60" i="168"/>
  <c r="F59" i="168"/>
  <c r="F60" i="168"/>
  <c r="G60" i="168"/>
  <c r="H60" i="168"/>
  <c r="I60" i="168"/>
  <c r="J60" i="168"/>
  <c r="K60" i="168"/>
  <c r="L60" i="168"/>
  <c r="M60" i="168"/>
  <c r="O59" i="168"/>
  <c r="O60" i="168"/>
  <c r="P60" i="168"/>
  <c r="Q60" i="168"/>
  <c r="R60" i="168"/>
  <c r="S59" i="168"/>
  <c r="L69" i="168"/>
  <c r="T69" i="168"/>
  <c r="S69" i="168"/>
  <c r="L70" i="168"/>
  <c r="T70" i="168"/>
  <c r="S70" i="168"/>
  <c r="L71" i="168"/>
  <c r="T71" i="168"/>
  <c r="S71" i="168"/>
  <c r="L72" i="168"/>
  <c r="T72" i="168"/>
  <c r="S72" i="168"/>
  <c r="T73" i="168"/>
  <c r="S73" i="168"/>
  <c r="T74" i="168"/>
  <c r="S74" i="168"/>
  <c r="L75" i="168"/>
  <c r="T75" i="168"/>
  <c r="S75" i="168"/>
  <c r="T76" i="168"/>
  <c r="S76" i="168"/>
  <c r="L77" i="168"/>
  <c r="T77" i="168"/>
  <c r="S77" i="168"/>
  <c r="T78" i="168"/>
  <c r="S78" i="168"/>
  <c r="T79" i="168"/>
  <c r="S79" i="168"/>
  <c r="L80" i="168"/>
  <c r="T80" i="168"/>
  <c r="S80" i="168"/>
  <c r="E12" i="132"/>
  <c r="F12" i="132"/>
  <c r="G12" i="132"/>
  <c r="H12" i="132"/>
  <c r="I12" i="132"/>
  <c r="J12" i="132"/>
  <c r="K12" i="132"/>
  <c r="L12" i="132"/>
  <c r="M12" i="132"/>
  <c r="N12" i="132"/>
  <c r="P12" i="132"/>
  <c r="Q12" i="132"/>
  <c r="V12" i="132"/>
  <c r="W12" i="132"/>
  <c r="E14" i="132"/>
  <c r="F14" i="132"/>
  <c r="G14" i="132"/>
  <c r="H14" i="132"/>
  <c r="I14" i="132"/>
  <c r="J14" i="132"/>
  <c r="K14" i="132"/>
  <c r="L14" i="132"/>
  <c r="M14" i="132"/>
  <c r="N14" i="132"/>
  <c r="P14" i="132"/>
  <c r="Q14" i="132"/>
  <c r="V14" i="132"/>
  <c r="W14" i="132"/>
  <c r="E15" i="132"/>
  <c r="F15" i="132"/>
  <c r="G15" i="132"/>
  <c r="H15" i="132"/>
  <c r="I15" i="132"/>
  <c r="J15" i="132"/>
  <c r="K15" i="132"/>
  <c r="L15" i="132"/>
  <c r="M15" i="132"/>
  <c r="N15" i="132"/>
  <c r="O15" i="132"/>
  <c r="P15" i="132"/>
  <c r="Q15" i="132"/>
  <c r="V15" i="132"/>
  <c r="W15" i="132"/>
  <c r="E16" i="132"/>
  <c r="F16" i="132"/>
  <c r="G16" i="132"/>
  <c r="H16" i="132"/>
  <c r="I16" i="132"/>
  <c r="J16" i="132"/>
  <c r="L16" i="132"/>
  <c r="M16" i="132"/>
  <c r="N16" i="132"/>
  <c r="O16" i="132"/>
  <c r="P16" i="132"/>
  <c r="Q16" i="132"/>
  <c r="V16" i="132"/>
  <c r="W16" i="132"/>
  <c r="X16" i="132"/>
  <c r="P18" i="132"/>
  <c r="V18" i="132"/>
  <c r="W18" i="132"/>
  <c r="X18" i="132"/>
  <c r="E19" i="132"/>
  <c r="F19" i="132"/>
  <c r="G19" i="132"/>
  <c r="H19" i="132"/>
  <c r="I19" i="132"/>
  <c r="J19" i="132"/>
  <c r="K19" i="132"/>
  <c r="L19" i="132"/>
  <c r="M19" i="132"/>
  <c r="N19" i="132"/>
  <c r="P19" i="132"/>
  <c r="Q19" i="132"/>
  <c r="V19" i="132"/>
  <c r="W19" i="132"/>
  <c r="E20" i="132"/>
  <c r="F20" i="132"/>
  <c r="G20" i="132"/>
  <c r="H20" i="132"/>
  <c r="I20" i="132"/>
  <c r="J20" i="132"/>
  <c r="K20" i="132"/>
  <c r="L20" i="132"/>
  <c r="M20" i="132"/>
  <c r="N20" i="132"/>
  <c r="P20" i="132"/>
  <c r="Q20" i="132"/>
  <c r="T20" i="132"/>
  <c r="U20" i="132"/>
  <c r="V20" i="132"/>
  <c r="W20" i="132"/>
  <c r="E21" i="132"/>
  <c r="F21" i="132"/>
  <c r="G21" i="132"/>
  <c r="H21" i="132"/>
  <c r="I21" i="132"/>
  <c r="J21" i="132"/>
  <c r="L21" i="132"/>
  <c r="M21" i="132"/>
  <c r="N21" i="132"/>
  <c r="P21" i="132"/>
  <c r="Q21" i="132"/>
  <c r="T21" i="132"/>
  <c r="U21" i="132"/>
  <c r="V21" i="132"/>
  <c r="W21" i="132"/>
  <c r="E22" i="132"/>
  <c r="F22" i="132"/>
  <c r="G22" i="132"/>
  <c r="H22" i="132"/>
  <c r="I22" i="132"/>
  <c r="J22" i="132"/>
  <c r="L22" i="132"/>
  <c r="M22" i="132"/>
  <c r="N22" i="132"/>
  <c r="P22" i="132"/>
  <c r="Q22" i="132"/>
  <c r="T22" i="132"/>
  <c r="U22" i="132"/>
  <c r="V22" i="132"/>
  <c r="W22" i="132"/>
  <c r="D24" i="132"/>
  <c r="E24" i="132"/>
  <c r="F24" i="132"/>
  <c r="G24" i="132"/>
  <c r="H24" i="132"/>
  <c r="I24" i="132"/>
  <c r="J24" i="132"/>
  <c r="K24" i="132"/>
  <c r="L24" i="132"/>
  <c r="M24" i="132"/>
  <c r="N24" i="132"/>
  <c r="O24" i="132"/>
  <c r="P24" i="132"/>
  <c r="Q24" i="132"/>
  <c r="R24" i="132"/>
  <c r="T24" i="132"/>
  <c r="U24" i="132"/>
  <c r="V24" i="132"/>
  <c r="W24" i="132"/>
  <c r="X24" i="132"/>
  <c r="Y24" i="132"/>
  <c r="D25" i="132"/>
  <c r="E25" i="132"/>
  <c r="F25" i="132"/>
  <c r="G25" i="132"/>
  <c r="H25" i="132"/>
  <c r="I25" i="132"/>
  <c r="J25" i="132"/>
  <c r="K25" i="132"/>
  <c r="L25" i="132"/>
  <c r="M25" i="132"/>
  <c r="N25" i="132"/>
  <c r="O25" i="132"/>
  <c r="P25" i="132"/>
  <c r="Q25" i="132"/>
  <c r="R25" i="132"/>
  <c r="T25" i="132"/>
  <c r="U25" i="132"/>
  <c r="V25" i="132"/>
  <c r="W25" i="132"/>
  <c r="X25" i="132"/>
  <c r="Y25" i="132"/>
  <c r="D26" i="132"/>
  <c r="E26" i="132"/>
  <c r="F26" i="132"/>
  <c r="G26" i="132"/>
  <c r="H26" i="132"/>
  <c r="I26" i="132"/>
  <c r="J26" i="132"/>
  <c r="K26" i="132"/>
  <c r="L26" i="132"/>
  <c r="M26" i="132"/>
  <c r="N26" i="132"/>
  <c r="O26" i="132"/>
  <c r="P26" i="132"/>
  <c r="Q26" i="132"/>
  <c r="R26" i="132"/>
  <c r="T26" i="132"/>
  <c r="U26" i="132"/>
  <c r="V26" i="132"/>
  <c r="W26" i="132"/>
  <c r="X26" i="132"/>
  <c r="Y26" i="132"/>
  <c r="D27" i="132"/>
  <c r="E27" i="132"/>
  <c r="F27" i="132"/>
  <c r="G27" i="132"/>
  <c r="H27" i="132"/>
  <c r="I27" i="132"/>
  <c r="J27" i="132"/>
  <c r="K27" i="132"/>
  <c r="L27" i="132"/>
  <c r="M27" i="132"/>
  <c r="N27" i="132"/>
  <c r="P27" i="132"/>
  <c r="Q27" i="132"/>
  <c r="R27" i="132"/>
  <c r="S27" i="132"/>
  <c r="T27" i="132"/>
  <c r="U27" i="132"/>
  <c r="V27" i="132"/>
  <c r="W27" i="132"/>
  <c r="D29" i="132"/>
  <c r="E29" i="132"/>
  <c r="F29" i="132"/>
  <c r="G29" i="132"/>
  <c r="H29" i="132"/>
  <c r="I29" i="132"/>
  <c r="J29" i="132"/>
  <c r="K29" i="132"/>
  <c r="L29" i="132"/>
  <c r="M29" i="132"/>
  <c r="N29" i="132"/>
  <c r="O29" i="132"/>
  <c r="P29" i="132"/>
  <c r="Q29" i="132"/>
  <c r="R29" i="132"/>
  <c r="S29" i="132"/>
  <c r="T29" i="132"/>
  <c r="U29" i="132"/>
  <c r="V29" i="132"/>
  <c r="W29" i="132"/>
  <c r="X29" i="132"/>
  <c r="D30" i="132"/>
  <c r="E30" i="132"/>
  <c r="F30" i="132"/>
  <c r="G30" i="132"/>
  <c r="H30" i="132"/>
  <c r="I30" i="132"/>
  <c r="J30" i="132"/>
  <c r="K30" i="132"/>
  <c r="L30" i="132"/>
  <c r="M30" i="132"/>
  <c r="N30" i="132"/>
  <c r="O30" i="132"/>
  <c r="P30" i="132"/>
  <c r="Q30" i="132"/>
  <c r="R30" i="132"/>
  <c r="S30" i="132"/>
  <c r="T30" i="132"/>
  <c r="U30" i="132"/>
  <c r="V30" i="132"/>
  <c r="W30" i="132"/>
  <c r="X30" i="132"/>
  <c r="V35" i="132"/>
  <c r="X35" i="132"/>
  <c r="V36" i="132"/>
  <c r="X36" i="132"/>
  <c r="B37" i="132"/>
  <c r="C37" i="132"/>
  <c r="E37" i="132"/>
  <c r="G37" i="132"/>
  <c r="V37" i="132"/>
  <c r="X37" i="132"/>
  <c r="V38" i="132"/>
  <c r="X38" i="132"/>
  <c r="V39" i="132"/>
  <c r="X39" i="132"/>
  <c r="E40" i="132"/>
  <c r="V40" i="132"/>
  <c r="X40" i="132"/>
  <c r="E42" i="132"/>
  <c r="E44" i="132"/>
  <c r="E45" i="132"/>
  <c r="P46" i="132"/>
  <c r="R46" i="132"/>
  <c r="W46" i="132"/>
  <c r="E48" i="132"/>
  <c r="P47" i="132"/>
  <c r="R47" i="132"/>
  <c r="W47" i="132"/>
  <c r="E49" i="132"/>
  <c r="P48" i="132"/>
  <c r="R48" i="132"/>
  <c r="W48" i="132"/>
  <c r="E50" i="132"/>
  <c r="P49" i="132"/>
  <c r="W49" i="132"/>
  <c r="E51" i="132"/>
  <c r="E52" i="132"/>
  <c r="X53" i="132"/>
  <c r="X54" i="132"/>
  <c r="X55" i="132"/>
  <c r="X56" i="132"/>
  <c r="X57" i="132"/>
  <c r="X58" i="132"/>
  <c r="L66" i="132"/>
  <c r="I73" i="132"/>
  <c r="O76" i="132"/>
  <c r="O77" i="132"/>
  <c r="E12" i="167"/>
  <c r="F12" i="167"/>
  <c r="I12" i="167"/>
  <c r="K12" i="167"/>
  <c r="L12" i="167"/>
  <c r="M12" i="167"/>
  <c r="N12" i="167"/>
  <c r="O12" i="167"/>
  <c r="Q12" i="167"/>
  <c r="R12" i="167"/>
  <c r="W12" i="167"/>
  <c r="E14" i="167"/>
  <c r="F14" i="167"/>
  <c r="H14" i="167"/>
  <c r="I14" i="167"/>
  <c r="J14" i="167"/>
  <c r="K14" i="167"/>
  <c r="L14" i="167"/>
  <c r="M14" i="167"/>
  <c r="N14" i="167"/>
  <c r="O14" i="167"/>
  <c r="Q14" i="167"/>
  <c r="R14" i="167"/>
  <c r="W14" i="167"/>
  <c r="E15" i="167"/>
  <c r="F15" i="167"/>
  <c r="H15" i="167"/>
  <c r="I15" i="167"/>
  <c r="J15" i="167"/>
  <c r="K15" i="167"/>
  <c r="L15" i="167"/>
  <c r="M15" i="167"/>
  <c r="N15" i="167"/>
  <c r="O15" i="167"/>
  <c r="P15" i="167"/>
  <c r="Q15" i="167"/>
  <c r="R15" i="167"/>
  <c r="W15" i="167"/>
  <c r="E16" i="167"/>
  <c r="F16" i="167"/>
  <c r="H16" i="167"/>
  <c r="I16" i="167"/>
  <c r="J16" i="167"/>
  <c r="K16" i="167"/>
  <c r="M16" i="167"/>
  <c r="N16" i="167"/>
  <c r="O16" i="167"/>
  <c r="P16" i="167"/>
  <c r="Q16" i="167"/>
  <c r="R16" i="167"/>
  <c r="W16" i="167"/>
  <c r="X16" i="167"/>
  <c r="Q18" i="167"/>
  <c r="W18" i="167"/>
  <c r="X18" i="167"/>
  <c r="E19" i="167"/>
  <c r="F19" i="167"/>
  <c r="H19" i="167"/>
  <c r="I19" i="167"/>
  <c r="J19" i="167"/>
  <c r="K19" i="167"/>
  <c r="L19" i="167"/>
  <c r="M19" i="167"/>
  <c r="N19" i="167"/>
  <c r="O19" i="167"/>
  <c r="Q19" i="167"/>
  <c r="R19" i="167"/>
  <c r="W19" i="167"/>
  <c r="E20" i="167"/>
  <c r="F20" i="167"/>
  <c r="H20" i="167"/>
  <c r="I20" i="167"/>
  <c r="J20" i="167"/>
  <c r="K20" i="167"/>
  <c r="L20" i="167"/>
  <c r="M20" i="167"/>
  <c r="N20" i="167"/>
  <c r="O20" i="167"/>
  <c r="Q20" i="167"/>
  <c r="R20" i="167"/>
  <c r="U20" i="167"/>
  <c r="V20" i="167"/>
  <c r="W20" i="167"/>
  <c r="AC20" i="167"/>
  <c r="AD20" i="167"/>
  <c r="AE20" i="167"/>
  <c r="AF20" i="167"/>
  <c r="E21" i="167"/>
  <c r="F21" i="167"/>
  <c r="H21" i="167"/>
  <c r="I21" i="167"/>
  <c r="J21" i="167"/>
  <c r="K21" i="167"/>
  <c r="M21" i="167"/>
  <c r="N21" i="167"/>
  <c r="O21" i="167"/>
  <c r="Q21" i="167"/>
  <c r="R21" i="167"/>
  <c r="U21" i="167"/>
  <c r="V21" i="167"/>
  <c r="W21" i="167"/>
  <c r="AC21" i="167"/>
  <c r="AD21" i="167"/>
  <c r="AE21" i="167"/>
  <c r="AF21" i="167"/>
  <c r="E22" i="167"/>
  <c r="F22" i="167"/>
  <c r="H22" i="167"/>
  <c r="I22" i="167"/>
  <c r="J22" i="167"/>
  <c r="K22" i="167"/>
  <c r="M22" i="167"/>
  <c r="N22" i="167"/>
  <c r="O22" i="167"/>
  <c r="Q22" i="167"/>
  <c r="R22" i="167"/>
  <c r="U22" i="167"/>
  <c r="V22" i="167"/>
  <c r="W22" i="167"/>
  <c r="AE22" i="167"/>
  <c r="AF22" i="167"/>
  <c r="D24" i="167"/>
  <c r="E24" i="167"/>
  <c r="F24" i="167"/>
  <c r="G24" i="167"/>
  <c r="H24" i="167"/>
  <c r="I24" i="167"/>
  <c r="J24" i="167"/>
  <c r="K24" i="167"/>
  <c r="L24" i="167"/>
  <c r="M24" i="167"/>
  <c r="N24" i="167"/>
  <c r="O24" i="167"/>
  <c r="P24" i="167"/>
  <c r="Q24" i="167"/>
  <c r="R24" i="167"/>
  <c r="S24" i="167"/>
  <c r="W24" i="167"/>
  <c r="X24" i="167"/>
  <c r="Y24" i="167"/>
  <c r="Z24" i="167"/>
  <c r="AA24" i="167"/>
  <c r="AB24" i="167"/>
  <c r="AC24" i="167"/>
  <c r="AD24" i="167"/>
  <c r="AE24" i="167"/>
  <c r="D26" i="167"/>
  <c r="E26" i="167"/>
  <c r="F26" i="167"/>
  <c r="G26" i="167"/>
  <c r="H26" i="167"/>
  <c r="I26" i="167"/>
  <c r="J26" i="167"/>
  <c r="K26" i="167"/>
  <c r="L26" i="167"/>
  <c r="M26" i="167"/>
  <c r="N26" i="167"/>
  <c r="O26" i="167"/>
  <c r="P26" i="167"/>
  <c r="Q26" i="167"/>
  <c r="R26" i="167"/>
  <c r="S26" i="167"/>
  <c r="U26" i="167"/>
  <c r="V26" i="167"/>
  <c r="W26" i="167"/>
  <c r="X26" i="167"/>
  <c r="Y26" i="167"/>
  <c r="AA26" i="167"/>
  <c r="AB26" i="167"/>
  <c r="AC26" i="167"/>
  <c r="AD26" i="167"/>
  <c r="AE26" i="167"/>
  <c r="AF26" i="167"/>
  <c r="D27" i="167"/>
  <c r="E27" i="167"/>
  <c r="F27" i="167"/>
  <c r="G27" i="167"/>
  <c r="H27" i="167"/>
  <c r="I27" i="167"/>
  <c r="J27" i="167"/>
  <c r="K27" i="167"/>
  <c r="L27" i="167"/>
  <c r="M27" i="167"/>
  <c r="N27" i="167"/>
  <c r="O27" i="167"/>
  <c r="Q27" i="167"/>
  <c r="R27" i="167"/>
  <c r="S27" i="167"/>
  <c r="W27" i="167"/>
  <c r="AC27" i="167"/>
  <c r="AD27" i="167"/>
  <c r="D28" i="167"/>
  <c r="E28" i="167"/>
  <c r="F28" i="167"/>
  <c r="G28" i="167"/>
  <c r="H28" i="167"/>
  <c r="I28" i="167"/>
  <c r="J28" i="167"/>
  <c r="K28" i="167"/>
  <c r="L28" i="167"/>
  <c r="M28" i="167"/>
  <c r="N28" i="167"/>
  <c r="O28" i="167"/>
  <c r="P28" i="167"/>
  <c r="Q28" i="167"/>
  <c r="R28" i="167"/>
  <c r="S28" i="167"/>
  <c r="U28" i="167"/>
  <c r="V28" i="167"/>
  <c r="W28" i="167"/>
  <c r="X28" i="167"/>
  <c r="Y28" i="167"/>
  <c r="Z28" i="167"/>
  <c r="AA28" i="167"/>
  <c r="AB28" i="167"/>
  <c r="AC28" i="167"/>
  <c r="AD28" i="167"/>
  <c r="AE28" i="167"/>
  <c r="AF28" i="167"/>
  <c r="D29" i="167"/>
  <c r="E29" i="167"/>
  <c r="F29" i="167"/>
  <c r="G29" i="167"/>
  <c r="H29" i="167"/>
  <c r="I29" i="167"/>
  <c r="J29" i="167"/>
  <c r="K29" i="167"/>
  <c r="L29" i="167"/>
  <c r="M29" i="167"/>
  <c r="N29" i="167"/>
  <c r="O29" i="167"/>
  <c r="P29" i="167"/>
  <c r="Q29" i="167"/>
  <c r="R29" i="167"/>
  <c r="S29" i="167"/>
  <c r="U29" i="167"/>
  <c r="V29" i="167"/>
  <c r="W29" i="167"/>
  <c r="X29" i="167"/>
  <c r="Y29" i="167"/>
  <c r="Z29" i="167"/>
  <c r="AA29" i="167"/>
  <c r="AB29" i="167"/>
  <c r="AC29" i="167"/>
  <c r="AD29" i="167"/>
  <c r="AE29" i="167"/>
  <c r="AF29" i="167"/>
  <c r="D30" i="167"/>
  <c r="E30" i="167"/>
  <c r="F30" i="167"/>
  <c r="H30" i="167"/>
  <c r="I30" i="167"/>
  <c r="J30" i="167"/>
  <c r="K30" i="167"/>
  <c r="L30" i="167"/>
  <c r="M30" i="167"/>
  <c r="N30" i="167"/>
  <c r="O30" i="167"/>
  <c r="Q30" i="167"/>
  <c r="R30" i="167"/>
  <c r="S30" i="167"/>
  <c r="T30" i="167"/>
  <c r="U30" i="167"/>
  <c r="V30" i="167"/>
  <c r="W30" i="167"/>
  <c r="AC30" i="167"/>
  <c r="AD30" i="167"/>
  <c r="AE30" i="167"/>
  <c r="AF30" i="167"/>
  <c r="AG30" i="167"/>
  <c r="D31" i="167"/>
  <c r="E31" i="167"/>
  <c r="F31" i="167"/>
  <c r="H31" i="167"/>
  <c r="I31" i="167"/>
  <c r="J31" i="167"/>
  <c r="K31" i="167"/>
  <c r="L31" i="167"/>
  <c r="M31" i="167"/>
  <c r="N31" i="167"/>
  <c r="O31" i="167"/>
  <c r="R31" i="167"/>
  <c r="T31" i="167"/>
  <c r="U31" i="167"/>
  <c r="V31" i="167"/>
  <c r="AD31" i="167"/>
  <c r="AE31" i="167"/>
  <c r="AF31" i="167"/>
  <c r="AG31" i="167"/>
  <c r="AH31" i="167"/>
  <c r="H32" i="167"/>
  <c r="I32" i="167"/>
  <c r="J32" i="167"/>
  <c r="K32" i="167"/>
  <c r="L32" i="167"/>
  <c r="M32" i="167"/>
  <c r="T32" i="167"/>
  <c r="U32" i="167"/>
  <c r="V32" i="167"/>
  <c r="AF32" i="167"/>
  <c r="AG32" i="167"/>
  <c r="AH32" i="167"/>
  <c r="D34" i="167"/>
  <c r="E34" i="167"/>
  <c r="F34" i="167"/>
  <c r="G34" i="167"/>
  <c r="H34" i="167"/>
  <c r="I34" i="167"/>
  <c r="J34" i="167"/>
  <c r="K34" i="167"/>
  <c r="L34" i="167"/>
  <c r="M34" i="167"/>
  <c r="N34" i="167"/>
  <c r="O34" i="167"/>
  <c r="P34" i="167"/>
  <c r="Q34" i="167"/>
  <c r="R34" i="167"/>
  <c r="S34" i="167"/>
  <c r="T34" i="167"/>
  <c r="U34" i="167"/>
  <c r="V34" i="167"/>
  <c r="W34" i="167"/>
  <c r="X34" i="167"/>
  <c r="AA34" i="167"/>
  <c r="AB34" i="167"/>
  <c r="AC34" i="167"/>
  <c r="AD34" i="167"/>
  <c r="AE34" i="167"/>
  <c r="AF34" i="167"/>
  <c r="AG34" i="167"/>
  <c r="AH34" i="167"/>
  <c r="D35" i="167"/>
  <c r="E35" i="167"/>
  <c r="F35" i="167"/>
  <c r="G35" i="167"/>
  <c r="H35" i="167"/>
  <c r="I35" i="167"/>
  <c r="J35" i="167"/>
  <c r="K35" i="167"/>
  <c r="L35" i="167"/>
  <c r="M35" i="167"/>
  <c r="N35" i="167"/>
  <c r="O35" i="167"/>
  <c r="P35" i="167"/>
  <c r="Q35" i="167"/>
  <c r="R35" i="167"/>
  <c r="S35" i="167"/>
  <c r="T35" i="167"/>
  <c r="U35" i="167"/>
  <c r="V35" i="167"/>
  <c r="W35" i="167"/>
  <c r="X35" i="167"/>
  <c r="AA35" i="167"/>
  <c r="AB35" i="167"/>
  <c r="AC35" i="167"/>
  <c r="AD35" i="167"/>
  <c r="AE35" i="167"/>
  <c r="AF35" i="167"/>
  <c r="AG35" i="167"/>
  <c r="AH35" i="167"/>
  <c r="D37" i="167"/>
  <c r="E37" i="167"/>
  <c r="F37" i="167"/>
  <c r="H37" i="167"/>
  <c r="I37" i="167"/>
  <c r="J37" i="167"/>
  <c r="K37" i="167"/>
  <c r="L37" i="167"/>
  <c r="M37" i="167"/>
  <c r="N37" i="167"/>
  <c r="O37" i="167"/>
  <c r="P37" i="167"/>
  <c r="Q37" i="167"/>
  <c r="R37" i="167"/>
  <c r="W37" i="167"/>
  <c r="D38" i="167"/>
  <c r="E38" i="167"/>
  <c r="F38" i="167"/>
  <c r="H38" i="167"/>
  <c r="I38" i="167"/>
  <c r="J38" i="167"/>
  <c r="K38" i="167"/>
  <c r="L38" i="167"/>
  <c r="M38" i="167"/>
  <c r="N38" i="167"/>
  <c r="O38" i="167"/>
  <c r="Q38" i="167"/>
  <c r="R38" i="167"/>
  <c r="W38" i="167"/>
  <c r="D39" i="167"/>
  <c r="E39" i="167"/>
  <c r="F39" i="167"/>
  <c r="H39" i="167"/>
  <c r="J39" i="167"/>
  <c r="L39" i="167"/>
  <c r="M39" i="167"/>
  <c r="N39" i="167"/>
  <c r="O39" i="167"/>
  <c r="P39" i="167"/>
  <c r="Q39" i="167"/>
  <c r="R39" i="167"/>
  <c r="W39" i="167"/>
  <c r="D40" i="167"/>
  <c r="E40" i="167"/>
  <c r="F40" i="167"/>
  <c r="H40" i="167"/>
  <c r="I40" i="167"/>
  <c r="J40" i="167"/>
  <c r="K40" i="167"/>
  <c r="L40" i="167"/>
  <c r="M40" i="167"/>
  <c r="N40" i="167"/>
  <c r="Q40" i="167"/>
  <c r="R40" i="167"/>
  <c r="W40" i="167"/>
  <c r="D41" i="167"/>
  <c r="E41" i="167"/>
  <c r="F41" i="167"/>
  <c r="H41" i="167"/>
  <c r="I41" i="167"/>
  <c r="J41" i="167"/>
  <c r="K41" i="167"/>
  <c r="L41" i="167"/>
  <c r="M41" i="167"/>
  <c r="N41" i="167"/>
  <c r="O41" i="167"/>
  <c r="Q41" i="167"/>
  <c r="R41" i="167"/>
  <c r="W41" i="167"/>
  <c r="D43" i="167"/>
  <c r="E43" i="167"/>
  <c r="F43" i="167"/>
  <c r="G43" i="167"/>
  <c r="H43" i="167"/>
  <c r="I43" i="167"/>
  <c r="J43" i="167"/>
  <c r="K43" i="167"/>
  <c r="L43" i="167"/>
  <c r="M43" i="167"/>
  <c r="N43" i="167"/>
  <c r="O43" i="167"/>
  <c r="P43" i="167"/>
  <c r="Q43" i="167"/>
  <c r="R43" i="167"/>
  <c r="S43" i="167"/>
  <c r="W43" i="167"/>
  <c r="X43" i="167"/>
  <c r="D44" i="167"/>
  <c r="E44" i="167"/>
  <c r="F44" i="167"/>
  <c r="G44" i="167"/>
  <c r="H44" i="167"/>
  <c r="I44" i="167"/>
  <c r="J44" i="167"/>
  <c r="K44" i="167"/>
  <c r="L44" i="167"/>
  <c r="M44" i="167"/>
  <c r="N44" i="167"/>
  <c r="O44" i="167"/>
  <c r="P44" i="167"/>
  <c r="Q44" i="167"/>
  <c r="R44" i="167"/>
  <c r="S44" i="167"/>
  <c r="W44" i="167"/>
  <c r="X44" i="167"/>
  <c r="D45" i="167"/>
  <c r="J45" i="167"/>
  <c r="S45" i="167"/>
  <c r="W45" i="167"/>
  <c r="X45" i="167"/>
  <c r="D46" i="167"/>
  <c r="J46" i="167"/>
  <c r="S46" i="167"/>
  <c r="W46" i="167"/>
  <c r="X46" i="167"/>
  <c r="D47" i="167"/>
  <c r="J47" i="167"/>
  <c r="S47" i="167"/>
  <c r="W47" i="167"/>
  <c r="X47" i="167"/>
  <c r="D48" i="167"/>
  <c r="J48" i="167"/>
  <c r="S48" i="167"/>
  <c r="W48" i="167"/>
  <c r="X48" i="167"/>
  <c r="Z51" i="167"/>
  <c r="AH51" i="167"/>
  <c r="R52" i="167"/>
  <c r="Z52" i="167"/>
  <c r="R53" i="167"/>
  <c r="Z53" i="167"/>
  <c r="R54" i="167"/>
  <c r="Z54" i="167"/>
  <c r="R55" i="167"/>
  <c r="Z55" i="167"/>
  <c r="AH55" i="167"/>
  <c r="R56" i="167"/>
  <c r="Z56" i="167"/>
  <c r="AH56" i="167"/>
  <c r="Z57" i="167"/>
  <c r="AH57" i="167"/>
  <c r="Z58" i="167"/>
  <c r="AH58" i="167"/>
  <c r="A59" i="167"/>
  <c r="R59" i="167"/>
  <c r="Z59" i="167"/>
  <c r="R60" i="167"/>
  <c r="Z60" i="167"/>
  <c r="AH60" i="167"/>
  <c r="R61" i="167"/>
  <c r="Z61" i="167"/>
  <c r="AH61" i="167"/>
  <c r="R62" i="167"/>
  <c r="Z62" i="167"/>
  <c r="AH62" i="167"/>
  <c r="R63" i="167"/>
  <c r="Z63" i="167"/>
  <c r="AH63" i="167"/>
  <c r="R64" i="167"/>
  <c r="Z64" i="167"/>
  <c r="AH64" i="167"/>
  <c r="R65" i="167"/>
  <c r="Z65" i="167"/>
  <c r="AH65" i="167"/>
  <c r="R66" i="167"/>
  <c r="Z66" i="167"/>
  <c r="R67" i="167"/>
  <c r="Z67" i="167"/>
  <c r="R68" i="167"/>
  <c r="Z68" i="167"/>
  <c r="R69" i="167"/>
  <c r="R70" i="167"/>
  <c r="R72" i="167"/>
  <c r="Z80" i="167"/>
  <c r="N81" i="167"/>
  <c r="Z81" i="167"/>
  <c r="T85" i="167"/>
  <c r="N9" i="202"/>
  <c r="Y10" i="202"/>
  <c r="X13" i="202"/>
  <c r="L9" i="202"/>
  <c r="J9" i="202"/>
  <c r="Y8" i="202"/>
  <c r="H13" i="202"/>
  <c r="X12" i="202"/>
  <c r="H12" i="202"/>
  <c r="H9" i="202"/>
  <c r="X8" i="202"/>
  <c r="Y13" i="202"/>
  <c r="L13" i="202"/>
  <c r="Y12" i="202"/>
  <c r="L12" i="202"/>
  <c r="R45" i="136"/>
  <c r="L45" i="136"/>
  <c r="H45" i="136"/>
  <c r="S45" i="136"/>
  <c r="I45" i="136"/>
  <c r="Q61" i="168"/>
  <c r="H61" i="168"/>
  <c r="R55" i="136"/>
  <c r="R62" i="136"/>
  <c r="G52" i="136"/>
  <c r="G59" i="136"/>
  <c r="Q45" i="136"/>
  <c r="M45" i="136"/>
  <c r="F45" i="136"/>
  <c r="J44" i="136"/>
  <c r="O61" i="168"/>
  <c r="F61" i="168"/>
  <c r="L61" i="168"/>
  <c r="AH29" i="169"/>
  <c r="AF29" i="169"/>
  <c r="AD29" i="169"/>
  <c r="AB29" i="169"/>
  <c r="Z29" i="169"/>
  <c r="X29" i="169"/>
  <c r="V29" i="169"/>
  <c r="AH28" i="169"/>
  <c r="AF28" i="169"/>
  <c r="AD28" i="169"/>
  <c r="AB28" i="169"/>
  <c r="Z28" i="169"/>
  <c r="X28" i="169"/>
  <c r="V28" i="169"/>
  <c r="L26" i="169"/>
  <c r="J26" i="169"/>
  <c r="H26" i="169"/>
  <c r="F26" i="169"/>
  <c r="D26" i="169"/>
  <c r="L25" i="169"/>
  <c r="J25" i="169"/>
  <c r="H25" i="169"/>
  <c r="F25" i="169"/>
  <c r="D25" i="169"/>
  <c r="AI24" i="169"/>
  <c r="AG24" i="169"/>
  <c r="AE24" i="169"/>
  <c r="AC24" i="169"/>
  <c r="AA24" i="169"/>
  <c r="Y24" i="169"/>
  <c r="W24" i="169"/>
  <c r="U24" i="169"/>
  <c r="V61" i="136"/>
  <c r="O61" i="136"/>
  <c r="K61" i="136"/>
  <c r="O60" i="136"/>
  <c r="M60" i="136"/>
  <c r="R59" i="136"/>
  <c r="P59" i="136"/>
  <c r="H59" i="136"/>
  <c r="E59" i="136"/>
  <c r="N45" i="136"/>
  <c r="AB27" i="169"/>
  <c r="AB26" i="169"/>
  <c r="I25" i="169"/>
  <c r="I26" i="169"/>
  <c r="AH22" i="169"/>
  <c r="AH24" i="169"/>
  <c r="Z22" i="169"/>
  <c r="Z24" i="169"/>
  <c r="AH18" i="169"/>
  <c r="AH21" i="169"/>
  <c r="Z18" i="169"/>
  <c r="Z21" i="169"/>
  <c r="V53" i="136"/>
  <c r="V59" i="136"/>
  <c r="O53" i="136"/>
  <c r="O59" i="136"/>
  <c r="J59" i="136"/>
  <c r="J53" i="136"/>
  <c r="J60" i="136"/>
  <c r="H53" i="136"/>
  <c r="H60" i="136"/>
  <c r="V45" i="136"/>
  <c r="V44" i="136"/>
  <c r="AF27" i="169"/>
  <c r="AF26" i="169"/>
  <c r="X27" i="169"/>
  <c r="X26" i="169"/>
  <c r="M25" i="169"/>
  <c r="M26" i="169"/>
  <c r="E25" i="169"/>
  <c r="E26" i="169"/>
  <c r="AD22" i="169"/>
  <c r="AD24" i="169"/>
  <c r="V22" i="169"/>
  <c r="V24" i="169"/>
  <c r="AD18" i="169"/>
  <c r="AD21" i="169"/>
  <c r="V18" i="169"/>
  <c r="V21" i="169"/>
  <c r="N55" i="136"/>
  <c r="N62" i="136"/>
  <c r="N61" i="136"/>
  <c r="L55" i="136"/>
  <c r="L62" i="136"/>
  <c r="L61" i="136"/>
  <c r="S52" i="136"/>
  <c r="S53" i="136"/>
  <c r="R60" i="136"/>
  <c r="P53" i="136"/>
  <c r="P60" i="136"/>
  <c r="K53" i="136"/>
  <c r="K59" i="136"/>
  <c r="K44" i="136"/>
  <c r="K45" i="136"/>
  <c r="J61" i="168"/>
  <c r="G61" i="168"/>
  <c r="AG29" i="169"/>
  <c r="Y29" i="169"/>
  <c r="I24" i="169"/>
  <c r="AH23" i="169"/>
  <c r="Z23" i="169"/>
  <c r="R61" i="136"/>
  <c r="P61" i="136"/>
  <c r="J61" i="136"/>
  <c r="H61" i="136"/>
  <c r="Q60" i="136"/>
  <c r="L59" i="136"/>
  <c r="R61" i="168"/>
  <c r="M61" i="168"/>
  <c r="I61" i="168"/>
  <c r="P38" i="169"/>
  <c r="L38" i="169"/>
  <c r="H38" i="169"/>
  <c r="D38" i="169"/>
  <c r="P37" i="169"/>
  <c r="L37" i="169"/>
  <c r="H37" i="169"/>
  <c r="D37" i="169"/>
  <c r="AG32" i="169"/>
  <c r="AC32" i="169"/>
  <c r="Y32" i="169"/>
  <c r="U32" i="169"/>
  <c r="AI29" i="169"/>
  <c r="AC29" i="169"/>
  <c r="W29" i="169"/>
  <c r="AI28" i="169"/>
  <c r="AA28" i="169"/>
  <c r="AI27" i="169"/>
  <c r="AA27" i="169"/>
  <c r="AG26" i="169"/>
  <c r="AD26" i="169"/>
  <c r="Y26" i="169"/>
  <c r="V26" i="169"/>
  <c r="Q26" i="169"/>
  <c r="Q25" i="169"/>
  <c r="AG22" i="169"/>
  <c r="Y22" i="169"/>
  <c r="AG19" i="169"/>
  <c r="AC19" i="169"/>
  <c r="Y19" i="169"/>
  <c r="U19" i="169"/>
  <c r="AG18" i="169"/>
  <c r="Y18" i="169"/>
  <c r="E37" i="169"/>
  <c r="E36" i="169"/>
  <c r="E38" i="169"/>
  <c r="M37" i="169"/>
  <c r="M36" i="169"/>
  <c r="M38" i="169"/>
  <c r="AE32" i="169"/>
  <c r="W32" i="169"/>
  <c r="AE29" i="169"/>
  <c r="U29" i="169"/>
  <c r="AC28" i="169"/>
  <c r="U28" i="169"/>
  <c r="W27" i="169"/>
  <c r="AE26" i="169"/>
  <c r="U26" i="169"/>
  <c r="K26" i="169"/>
  <c r="AC22" i="169"/>
  <c r="X21" i="169"/>
  <c r="AE19" i="169"/>
  <c r="AB19" i="169"/>
  <c r="W19" i="169"/>
  <c r="AI18" i="169"/>
  <c r="AE18" i="169"/>
  <c r="AB17" i="169"/>
  <c r="E61" i="136"/>
  <c r="G54" i="136"/>
  <c r="G61" i="136"/>
  <c r="G51" i="136"/>
  <c r="G58" i="136"/>
  <c r="I38" i="169"/>
  <c r="I36" i="169"/>
  <c r="AA29" i="169"/>
  <c r="Y28" i="169"/>
  <c r="AH26" i="169"/>
  <c r="Z26" i="169"/>
  <c r="K25" i="169"/>
  <c r="X24" i="169"/>
  <c r="AA22" i="169"/>
  <c r="W22" i="169"/>
  <c r="X19" i="169"/>
  <c r="AF18" i="169"/>
  <c r="Z17" i="169"/>
  <c r="V17" i="169"/>
  <c r="M61" i="136"/>
  <c r="Q59" i="136"/>
  <c r="M59" i="136"/>
  <c r="R58" i="136"/>
  <c r="AE28" i="169"/>
  <c r="AE27" i="169"/>
  <c r="N53" i="136"/>
  <c r="N60" i="136"/>
  <c r="L60" i="136"/>
  <c r="L53" i="136"/>
  <c r="Q61" i="136"/>
  <c r="E45" i="136"/>
  <c r="N36" i="169"/>
  <c r="N37" i="169"/>
  <c r="N38" i="169"/>
  <c r="F36" i="169"/>
  <c r="F38" i="169"/>
  <c r="W28" i="169"/>
  <c r="W26" i="169"/>
  <c r="C24" i="169"/>
  <c r="C26" i="169"/>
  <c r="I55" i="136"/>
  <c r="I62" i="136"/>
  <c r="I61" i="136"/>
  <c r="K61" i="168"/>
  <c r="O36" i="169"/>
  <c r="J36" i="169"/>
  <c r="P61" i="168"/>
  <c r="P25" i="169"/>
  <c r="O24" i="169"/>
  <c r="G53" i="136"/>
  <c r="AG28" i="169"/>
  <c r="AC26" i="169"/>
  <c r="O26" i="169"/>
  <c r="O25" i="169"/>
  <c r="E61" i="168"/>
  <c r="G11" i="212"/>
  <c r="G10" i="212"/>
  <c r="G12" i="212"/>
  <c r="G7" i="212"/>
  <c r="G9" i="212"/>
  <c r="G8" i="212"/>
  <c r="X22" i="169"/>
  <c r="AC18" i="169"/>
  <c r="AD56" i="246"/>
  <c r="AI66" i="246"/>
  <c r="D75" i="246"/>
  <c r="F75" i="246"/>
  <c r="I75" i="246"/>
  <c r="K75" i="246"/>
  <c r="M75" i="246"/>
  <c r="O75" i="246"/>
  <c r="R75" i="246"/>
  <c r="O79" i="246"/>
  <c r="D80" i="246"/>
  <c r="F80" i="246"/>
  <c r="K80" i="246"/>
  <c r="O80" i="246"/>
  <c r="Q80" i="246"/>
  <c r="S80" i="246"/>
  <c r="O81" i="246"/>
  <c r="D82" i="246"/>
  <c r="F82" i="246"/>
  <c r="K82" i="246"/>
  <c r="O82" i="246"/>
  <c r="D90" i="246"/>
  <c r="F90" i="246"/>
  <c r="H90" i="246"/>
  <c r="J90" i="246"/>
  <c r="L90" i="246"/>
  <c r="N90" i="246"/>
  <c r="R90" i="246"/>
  <c r="E91" i="246"/>
  <c r="I91" i="246"/>
  <c r="K91" i="246"/>
  <c r="M91" i="246"/>
  <c r="Q91" i="246"/>
  <c r="R92" i="246"/>
  <c r="AF22" i="246"/>
  <c r="AF56" i="246"/>
  <c r="AF32" i="246"/>
  <c r="AF66" i="246"/>
  <c r="AH32" i="246"/>
  <c r="AH66" i="246"/>
  <c r="F48" i="246"/>
  <c r="E75" i="246"/>
  <c r="L75" i="246"/>
  <c r="N75" i="246"/>
  <c r="Q75" i="246"/>
  <c r="E80" i="246"/>
  <c r="E82" i="246"/>
  <c r="E90" i="246"/>
  <c r="G90" i="246"/>
  <c r="I90" i="246"/>
  <c r="K90" i="246"/>
  <c r="M90" i="246"/>
  <c r="O38" i="169"/>
  <c r="J38" i="169"/>
  <c r="K36" i="169"/>
  <c r="S60" i="136"/>
  <c r="AH22" i="246"/>
  <c r="AH56" i="246"/>
  <c r="AJ56" i="246"/>
  <c r="AL56" i="246"/>
  <c r="AD66" i="246"/>
  <c r="E48" i="246"/>
  <c r="L80" i="246"/>
  <c r="L82" i="246"/>
  <c r="V90" i="246"/>
  <c r="F91" i="246"/>
  <c r="R91" i="246"/>
  <c r="AE22" i="246"/>
  <c r="AE56" i="246"/>
  <c r="AG22" i="246"/>
  <c r="AG56" i="246"/>
  <c r="AE32" i="246"/>
  <c r="AE66" i="246"/>
  <c r="M80" i="246"/>
  <c r="M82" i="246"/>
  <c r="U82" i="246"/>
  <c r="G91" i="246"/>
  <c r="S91" i="246"/>
  <c r="U79" i="246"/>
  <c r="U81" i="246"/>
  <c r="S90" i="246"/>
  <c r="C38" i="169"/>
  <c r="AI22" i="169"/>
  <c r="AE22" i="169"/>
  <c r="E53" i="136"/>
  <c r="E60" i="136"/>
  <c r="F53" i="136"/>
  <c r="F59" i="136"/>
  <c r="K38" i="169"/>
  <c r="Q36" i="169"/>
  <c r="G36" i="169"/>
  <c r="AB24" i="169"/>
  <c r="AB22" i="169"/>
  <c r="AB21" i="169"/>
  <c r="AA18" i="169"/>
  <c r="F61" i="136"/>
  <c r="F55" i="136"/>
  <c r="F62" i="136"/>
  <c r="I53" i="136"/>
  <c r="I59" i="136"/>
  <c r="G38" i="169"/>
  <c r="G24" i="169"/>
  <c r="P26" i="169"/>
  <c r="G26" i="169"/>
  <c r="AF24" i="169"/>
  <c r="AH19" i="169"/>
  <c r="AD19" i="169"/>
  <c r="V19" i="169"/>
  <c r="AH17" i="169"/>
  <c r="AD17" i="169"/>
  <c r="X17" i="169"/>
  <c r="G56" i="136"/>
  <c r="G63" i="136"/>
  <c r="S56" i="136"/>
  <c r="S63" i="136"/>
  <c r="W18" i="169"/>
  <c r="U18" i="169"/>
  <c r="U90" i="246"/>
  <c r="X10" i="202"/>
  <c r="J8" i="270"/>
  <c r="L8" i="270"/>
  <c r="W8" i="270"/>
  <c r="Y8" i="270"/>
  <c r="AA8" i="270"/>
  <c r="J11" i="270"/>
  <c r="L11" i="270"/>
  <c r="W11" i="270"/>
  <c r="Y11" i="270"/>
  <c r="AA11" i="270"/>
  <c r="J14" i="270"/>
  <c r="L14" i="270"/>
  <c r="W14" i="270"/>
  <c r="Y14" i="270"/>
  <c r="AA14" i="270"/>
  <c r="J17" i="270"/>
  <c r="L17" i="270"/>
  <c r="W17" i="270"/>
  <c r="Y17" i="270"/>
  <c r="AA17" i="270"/>
  <c r="J20" i="270"/>
  <c r="L20" i="270"/>
  <c r="W20" i="270"/>
  <c r="Y20" i="270"/>
  <c r="AA20" i="270"/>
  <c r="J23" i="270"/>
  <c r="L23" i="270"/>
  <c r="W23" i="270"/>
  <c r="Y23" i="270"/>
  <c r="AA23" i="270"/>
  <c r="J26" i="270"/>
  <c r="L26" i="270"/>
  <c r="W26" i="270"/>
  <c r="Y26" i="270"/>
  <c r="AA26" i="270"/>
  <c r="I8" i="270"/>
  <c r="K8" i="270"/>
  <c r="M8" i="270"/>
  <c r="X8" i="270"/>
  <c r="Z8" i="270"/>
  <c r="I11" i="270"/>
  <c r="K11" i="270"/>
  <c r="M11" i="270"/>
  <c r="X11" i="270"/>
  <c r="Z11" i="270"/>
  <c r="I14" i="270"/>
  <c r="K14" i="270"/>
  <c r="M14" i="270"/>
  <c r="X14" i="270"/>
  <c r="Z14" i="270"/>
  <c r="I17" i="270"/>
  <c r="K17" i="270"/>
  <c r="M17" i="270"/>
  <c r="X17" i="270"/>
  <c r="Z17" i="270"/>
  <c r="I20" i="270"/>
  <c r="K20" i="270"/>
  <c r="M20" i="270"/>
  <c r="X20" i="270"/>
  <c r="Z20" i="270"/>
  <c r="I23" i="270"/>
  <c r="K23" i="270"/>
  <c r="M23" i="270"/>
  <c r="X23" i="270"/>
  <c r="Z23" i="270"/>
  <c r="I26" i="270"/>
  <c r="K26" i="270"/>
  <c r="M26" i="270"/>
  <c r="X26" i="270"/>
  <c r="Z26" i="270"/>
  <c r="G60" i="136"/>
  <c r="AA32" i="169"/>
  <c r="AF22" i="169"/>
  <c r="AA17" i="169"/>
  <c r="S59" i="136"/>
  <c r="K12" i="271"/>
  <c r="S55" i="136"/>
  <c r="S62" i="136"/>
  <c r="S61" i="136"/>
  <c r="K21" i="271"/>
  <c r="K22" i="271"/>
  <c r="K24" i="271"/>
  <c r="E26" i="271"/>
  <c r="E28" i="271"/>
  <c r="E29" i="271"/>
  <c r="E32" i="271"/>
  <c r="K44" i="271"/>
  <c r="K45" i="271"/>
  <c r="K46" i="271"/>
  <c r="E48" i="271"/>
  <c r="E53" i="271"/>
  <c r="E55" i="271"/>
  <c r="K10" i="271"/>
  <c r="K11" i="271"/>
  <c r="K14" i="271"/>
  <c r="K20" i="271"/>
  <c r="K28" i="271"/>
  <c r="K29" i="271"/>
  <c r="K30" i="271"/>
  <c r="K31" i="271"/>
  <c r="K32" i="271"/>
  <c r="K37" i="271"/>
  <c r="K38" i="271"/>
  <c r="E45" i="271"/>
  <c r="G55" i="136"/>
  <c r="G62" i="136"/>
  <c r="AI19" i="169"/>
  <c r="Z19" i="169"/>
  <c r="K15" i="271"/>
</calcChain>
</file>

<file path=xl/comments1.xml><?xml version="1.0" encoding="utf-8"?>
<comments xmlns="http://schemas.openxmlformats.org/spreadsheetml/2006/main">
  <authors>
    <author>akalinichenko</author>
  </authors>
  <commentList>
    <comment ref="A12" authorId="0" shapeId="0">
      <text/>
    </comment>
    <comment ref="A14" authorId="0" shapeId="0">
      <text/>
    </comment>
    <comment ref="A15" authorId="0" shapeId="0">
      <text/>
    </comment>
    <comment ref="A16" authorId="0" shapeId="0">
      <text/>
    </comment>
  </commentList>
</comments>
</file>

<file path=xl/comments2.xml><?xml version="1.0" encoding="utf-8"?>
<comments xmlns="http://schemas.openxmlformats.org/spreadsheetml/2006/main">
  <authors>
    <author>akalinichenko</author>
  </authors>
  <commentList>
    <comment ref="B12" authorId="0" shapeId="0">
      <text>
        <r>
          <rPr>
            <b/>
            <sz val="9"/>
            <color indexed="81"/>
            <rFont val="Tahoma"/>
            <family val="2"/>
            <charset val="204"/>
          </rPr>
          <t>Прежнее название коллекции Кадриль (с нарезкой accord)</t>
        </r>
      </text>
    </comment>
    <comment ref="B17" authorId="0" shapeId="0">
      <text>
        <r>
          <rPr>
            <b/>
            <sz val="9"/>
            <color indexed="81"/>
            <rFont val="Tahoma"/>
            <family val="2"/>
            <charset val="204"/>
          </rPr>
          <t>Объединенная коллекция с коллекцией Джайв</t>
        </r>
      </text>
    </comment>
  </commentList>
</comments>
</file>

<file path=xl/comments3.xml><?xml version="1.0" encoding="utf-8"?>
<comments xmlns="http://schemas.openxmlformats.org/spreadsheetml/2006/main">
  <authors>
    <author>aantipova</author>
  </authors>
  <commentList>
    <comment ref="B9" authorId="0" shapeId="0">
      <text>
        <r>
          <rPr>
            <sz val="9"/>
            <color indexed="81"/>
            <rFont val="Tahoma"/>
            <family val="2"/>
            <charset val="204"/>
          </rPr>
          <t>Укажите ширину изделия в милиметрах</t>
        </r>
      </text>
    </comment>
    <comment ref="C9" authorId="0" shapeId="0">
      <text>
        <r>
          <rPr>
            <sz val="9"/>
            <color indexed="81"/>
            <rFont val="Tahoma"/>
            <family val="2"/>
            <charset val="204"/>
          </rPr>
          <t>Укажите длину изделия в милиметрах</t>
        </r>
      </text>
    </comment>
  </commentList>
</comments>
</file>

<file path=xl/comments4.xml><?xml version="1.0" encoding="utf-8"?>
<comments xmlns="http://schemas.openxmlformats.org/spreadsheetml/2006/main">
  <authors>
    <author>akalinichenko</author>
  </authors>
  <commentList>
    <comment ref="A12" authorId="0" shapeId="0">
      <text/>
    </comment>
    <comment ref="A13" authorId="0" shapeId="0">
      <text/>
    </comment>
    <comment ref="A14" authorId="0" shapeId="0">
      <text/>
    </comment>
    <comment ref="A16" authorId="0" shapeId="0">
      <text/>
    </comment>
  </commentList>
</comments>
</file>

<file path=xl/comments5.xml><?xml version="1.0" encoding="utf-8"?>
<comments xmlns="http://schemas.openxmlformats.org/spreadsheetml/2006/main">
  <authors>
    <author>akalinichenko</author>
  </authors>
  <commentList>
    <comment ref="A9" authorId="0" shapeId="0">
      <text/>
    </comment>
    <comment ref="A11" authorId="0" shapeId="0">
      <text/>
    </comment>
    <comment ref="A13" authorId="0" shapeId="0">
      <text/>
    </comment>
    <comment ref="A15" authorId="0" shapeId="0">
      <text/>
    </comment>
    <comment ref="A17" authorId="0" shapeId="0">
      <text/>
    </comment>
    <comment ref="A19" authorId="0" shapeId="0">
      <text/>
    </comment>
    <comment ref="A21" authorId="0" shapeId="0">
      <text/>
    </comment>
    <comment ref="A32" authorId="0" shapeId="0">
      <text/>
    </comment>
    <comment ref="A33" authorId="0" shapeId="0">
      <text/>
    </comment>
    <comment ref="A34" authorId="0" shapeId="0">
      <text/>
    </comment>
    <comment ref="A35" authorId="0" shapeId="0">
      <text/>
    </comment>
    <comment ref="A36" authorId="0" shapeId="0">
      <text/>
    </comment>
    <comment ref="A37" authorId="0" shapeId="0">
      <text/>
    </comment>
    <comment ref="A38" authorId="0" shapeId="0">
      <text/>
    </comment>
    <comment ref="A39" authorId="0" shapeId="0">
      <text/>
    </comment>
    <comment ref="A40" authorId="0" shapeId="0">
      <text/>
    </comment>
    <comment ref="A41" authorId="0" shapeId="0">
      <text/>
    </comment>
    <comment ref="A42" authorId="0" shapeId="0">
      <text/>
    </comment>
    <comment ref="A43" authorId="0" shapeId="0">
      <text/>
    </comment>
    <comment ref="A44" authorId="0" shapeId="0">
      <text/>
    </comment>
    <comment ref="A45" authorId="0" shapeId="0">
      <text/>
    </comment>
  </commentList>
</comments>
</file>

<file path=xl/comments6.xml><?xml version="1.0" encoding="utf-8"?>
<comments xmlns="http://schemas.openxmlformats.org/spreadsheetml/2006/main">
  <authors>
    <author>akalinichenko</author>
  </authors>
  <commentList>
    <comment ref="A11" authorId="0" shapeId="0">
      <text/>
    </comment>
    <comment ref="A12" authorId="0" shapeId="0">
      <text/>
    </comment>
    <comment ref="A14" authorId="0" shapeId="0">
      <text/>
    </comment>
    <comment ref="I14" authorId="0" shapeId="0">
      <text/>
    </comment>
    <comment ref="A16" authorId="0" shapeId="0">
      <text/>
    </comment>
    <comment ref="I16" authorId="0" shapeId="0">
      <text/>
    </comment>
    <comment ref="A17" authorId="0" shapeId="0">
      <text/>
    </comment>
    <comment ref="I17" authorId="0" shapeId="0">
      <text/>
    </comment>
    <comment ref="A18" authorId="0" shapeId="0">
      <text/>
    </comment>
    <comment ref="I18" authorId="0" shapeId="0">
      <text/>
    </comment>
    <comment ref="A19" authorId="0" shapeId="0">
      <text/>
    </comment>
    <comment ref="I19" authorId="0" shapeId="0">
      <text/>
    </comment>
    <comment ref="A20" authorId="0" shapeId="0">
      <text/>
    </comment>
    <comment ref="I20" authorId="0" shapeId="0">
      <text/>
    </comment>
    <comment ref="A21" authorId="0" shapeId="0">
      <text/>
    </comment>
    <comment ref="I21" authorId="0" shapeId="0">
      <text/>
    </comment>
  </commentList>
</comments>
</file>

<file path=xl/comments7.xml><?xml version="1.0" encoding="utf-8"?>
<comments xmlns="http://schemas.openxmlformats.org/spreadsheetml/2006/main">
  <authors>
    <author>akalinichenko</author>
  </authors>
  <commentList>
    <comment ref="A23" authorId="0" shapeId="0">
      <text/>
    </comment>
    <comment ref="A24" authorId="0" shapeId="0">
      <text/>
    </comment>
    <comment ref="A25" authorId="0" shapeId="0">
      <text/>
    </comment>
    <comment ref="A26" authorId="0" shapeId="0">
      <text/>
    </comment>
    <comment ref="A27" authorId="0" shapeId="0">
      <text/>
    </comment>
    <comment ref="A28" authorId="0" shapeId="0">
      <text/>
    </comment>
    <comment ref="A33" authorId="0" shapeId="0">
      <text/>
    </comment>
    <comment ref="A34" authorId="0" shapeId="0">
      <text/>
    </comment>
    <comment ref="A51" authorId="0" shapeId="0">
      <text/>
    </comment>
    <comment ref="A58" authorId="0" shapeId="0">
      <text/>
    </comment>
  </commentList>
</comments>
</file>

<file path=xl/comments8.xml><?xml version="1.0" encoding="utf-8"?>
<comments xmlns="http://schemas.openxmlformats.org/spreadsheetml/2006/main">
  <authors>
    <author>oudovenko</author>
    <author>akalinichenko</author>
  </authors>
  <commentList>
    <comment ref="B44" authorId="0" shapeId="0">
      <text>
        <r>
          <rPr>
            <b/>
            <sz val="9"/>
            <color indexed="81"/>
            <rFont val="Tahoma"/>
            <family val="2"/>
            <charset val="204"/>
          </rPr>
          <t>остаток на складе ОБн - 12 уп.</t>
        </r>
      </text>
    </comment>
    <comment ref="B46" authorId="0" shapeId="0">
      <text>
        <r>
          <rPr>
            <b/>
            <sz val="9"/>
            <color indexed="81"/>
            <rFont val="Tahoma"/>
            <family val="2"/>
            <charset val="204"/>
          </rPr>
          <t>остаток на складе СПб - 5 уп.</t>
        </r>
      </text>
    </comment>
    <comment ref="B48" authorId="0" shapeId="0">
      <text>
        <r>
          <rPr>
            <b/>
            <sz val="9"/>
            <color indexed="81"/>
            <rFont val="Tahoma"/>
            <family val="2"/>
            <charset val="204"/>
          </rPr>
          <t>остаток на складе ОБн - 1 уп.</t>
        </r>
      </text>
    </comment>
    <comment ref="B50" authorId="1" shapeId="0">
      <text>
        <r>
          <rPr>
            <b/>
            <sz val="9"/>
            <color indexed="81"/>
            <rFont val="Tahoma"/>
            <family val="2"/>
            <charset val="204"/>
          </rPr>
          <t>остаток на складе ОБн - 1 уп.</t>
        </r>
      </text>
    </comment>
    <comment ref="B52" authorId="1" shapeId="0">
      <text>
        <r>
          <rPr>
            <b/>
            <sz val="9"/>
            <color indexed="81"/>
            <rFont val="Tahoma"/>
            <family val="2"/>
            <charset val="204"/>
          </rPr>
          <t>остаток на складе ОБн - 11 уп.</t>
        </r>
      </text>
    </comment>
  </commentList>
</comments>
</file>

<file path=xl/sharedStrings.xml><?xml version="1.0" encoding="utf-8"?>
<sst xmlns="http://schemas.openxmlformats.org/spreadsheetml/2006/main" count="15985" uniqueCount="6953">
  <si>
    <t>Алфавитный указатель:</t>
  </si>
  <si>
    <t>А</t>
  </si>
  <si>
    <t>Раздел</t>
  </si>
  <si>
    <t>Стр.</t>
  </si>
  <si>
    <t>Н</t>
  </si>
  <si>
    <t>Акриловый сайдинг</t>
  </si>
  <si>
    <t xml:space="preserve"> 3.3</t>
  </si>
  <si>
    <t>Навесная фасадная система</t>
  </si>
  <si>
    <t>Алюцинк (AlZn)</t>
  </si>
  <si>
    <t xml:space="preserve"> 1.12</t>
  </si>
  <si>
    <t>Нестандартные элементы</t>
  </si>
  <si>
    <t xml:space="preserve"> 1.2, 1.3, 2.1, 3.1, 4.1</t>
  </si>
  <si>
    <t>Атлас (Atlas)</t>
  </si>
  <si>
    <t xml:space="preserve"> 1.1, 1.2, 1.3, 3.1, 3.2, 4.1</t>
  </si>
  <si>
    <t>Никобэнд (Nicoband)</t>
  </si>
  <si>
    <t>Аэроэлемент конька</t>
  </si>
  <si>
    <t xml:space="preserve"> 1.1, 1.9, 2.1, 5.2</t>
  </si>
  <si>
    <t>О</t>
  </si>
  <si>
    <t>Б</t>
  </si>
  <si>
    <t>Ограждение кровельное</t>
  </si>
  <si>
    <t xml:space="preserve"> 1.16</t>
  </si>
  <si>
    <t>Ликвидация и Акции</t>
  </si>
  <si>
    <t>Бензобур</t>
  </si>
  <si>
    <t xml:space="preserve"> 4.2, 4.4, 5.6</t>
  </si>
  <si>
    <t>Окна вентиляционные</t>
  </si>
  <si>
    <t xml:space="preserve"> 3.4</t>
  </si>
  <si>
    <t>Битумные материалы</t>
  </si>
  <si>
    <t xml:space="preserve"> 1.6</t>
  </si>
  <si>
    <t>Окна мансардные</t>
  </si>
  <si>
    <t>Вся профилированная продукция</t>
  </si>
  <si>
    <t>Брусок</t>
  </si>
  <si>
    <t xml:space="preserve"> 1.1, 1.4, 1.7, 1.8, 1.9, 3.1, 3.3, 5.2</t>
  </si>
  <si>
    <t>Оптима (Optima)</t>
  </si>
  <si>
    <t>В</t>
  </si>
  <si>
    <t>ОСП (OSB)</t>
  </si>
  <si>
    <t xml:space="preserve"> 1.4, 1.5</t>
  </si>
  <si>
    <t>Велюкс (Velux)</t>
  </si>
  <si>
    <t xml:space="preserve"> 1.21, 1.22</t>
  </si>
  <si>
    <t>Отлив</t>
  </si>
  <si>
    <t xml:space="preserve"> 2.1, 3.2</t>
  </si>
  <si>
    <t>Велюр (Velur)</t>
  </si>
  <si>
    <t>П</t>
  </si>
  <si>
    <t>Вентилируемый фасад</t>
  </si>
  <si>
    <t>Парапетные крышки</t>
  </si>
  <si>
    <t xml:space="preserve"> 4.1</t>
  </si>
  <si>
    <t>Вентиляция</t>
  </si>
  <si>
    <t xml:space="preserve"> 1.17, 1.18, 3.4</t>
  </si>
  <si>
    <t>Пенополистирол</t>
  </si>
  <si>
    <t xml:space="preserve"> 5.4</t>
  </si>
  <si>
    <t>Виниловый сайдинг</t>
  </si>
  <si>
    <t>Плантер (Planter)</t>
  </si>
  <si>
    <t>Винтовая опора</t>
  </si>
  <si>
    <t xml:space="preserve"> 4.3</t>
  </si>
  <si>
    <t>Пленки изоляционные</t>
  </si>
  <si>
    <t xml:space="preserve"> 5.1</t>
  </si>
  <si>
    <t>1. КРОВЛЯ</t>
  </si>
  <si>
    <t>4. ОГРАЖДЕНИЯ</t>
  </si>
  <si>
    <t>Водосток пластиковый</t>
  </si>
  <si>
    <t xml:space="preserve"> 1.14</t>
  </si>
  <si>
    <t>Плоский лист</t>
  </si>
  <si>
    <t>1.1. Кровельные материалы (черепица, фальц, профнастил, мет.софиты)</t>
  </si>
  <si>
    <t>4.1. Профнастил для заборов, межэтажных перекрытий и металлический штакетник</t>
  </si>
  <si>
    <t>Водосток металлический</t>
  </si>
  <si>
    <t xml:space="preserve"> 1.12, 1.13</t>
  </si>
  <si>
    <t>Полидекстер (Polydexter)</t>
  </si>
  <si>
    <t>Вокс (VOX)</t>
  </si>
  <si>
    <t xml:space="preserve"> 3.5</t>
  </si>
  <si>
    <t>Полидекстер Мат (Polydexter Matt)</t>
  </si>
  <si>
    <t>1.2. Доборные элементы кровли, дымники</t>
  </si>
  <si>
    <t>Ворота</t>
  </si>
  <si>
    <t xml:space="preserve"> 4.6, 4.7</t>
  </si>
  <si>
    <t>Поликарбонат</t>
  </si>
  <si>
    <t xml:space="preserve"> 6.1</t>
  </si>
  <si>
    <t>1.3. Фальцевая кровля</t>
  </si>
  <si>
    <t>Временные ограждения</t>
  </si>
  <si>
    <t xml:space="preserve"> 4.5</t>
  </si>
  <si>
    <t>Полиэстер (Polyester, PE)</t>
  </si>
  <si>
    <t>1.4. Мягкая кровля Shinglas</t>
  </si>
  <si>
    <t>4.4. Модульные ограждения GL</t>
  </si>
  <si>
    <t>Г</t>
  </si>
  <si>
    <t>Премиум (Premium)</t>
  </si>
  <si>
    <t>1.5. Мягкая кровля Icopal и CertainTeed</t>
  </si>
  <si>
    <t>4.5. Временные ограждения, рулонная сетка</t>
  </si>
  <si>
    <t>Герметик</t>
  </si>
  <si>
    <t>Принт (Print)</t>
  </si>
  <si>
    <t>1.6. Битумные материалы</t>
  </si>
  <si>
    <t>4.6. Откатные ворота GL и шлагбаумы</t>
  </si>
  <si>
    <t>ГК-профили</t>
  </si>
  <si>
    <t xml:space="preserve"> 3.7</t>
  </si>
  <si>
    <t>Профнастил в PE двс</t>
  </si>
  <si>
    <t>1.7. Композитная металлочерепица Grand Line</t>
  </si>
  <si>
    <t>4.7. Распашные ворота и калитки</t>
  </si>
  <si>
    <t>ГринКоат Пурал, Пурал Мат (GreenCoat Pural)</t>
  </si>
  <si>
    <t>Профнастил С8</t>
  </si>
  <si>
    <t xml:space="preserve"> 3.1, 3.2, 4.1</t>
  </si>
  <si>
    <t>1.8. Композитная черепица Decra (Бельгия)</t>
  </si>
  <si>
    <t>4.8. Элементы ограждений Locinox</t>
  </si>
  <si>
    <t>Д</t>
  </si>
  <si>
    <t>Профнастил С10</t>
  </si>
  <si>
    <t xml:space="preserve"> 1.1, 3.1, 3.2, 4.1</t>
  </si>
  <si>
    <t>1.9. Композитная черепица Luxard (Россия)</t>
  </si>
  <si>
    <t>Дачный</t>
  </si>
  <si>
    <t>Профнастил С20</t>
  </si>
  <si>
    <t>1.10. Композитная черепица Metrotile (Бельгия)</t>
  </si>
  <si>
    <t>Двойной стоячий фальц</t>
  </si>
  <si>
    <t xml:space="preserve"> 1.1, 1.3, 2.1</t>
  </si>
  <si>
    <t>Профнастил С21</t>
  </si>
  <si>
    <t>1.11. Цементно-песчаная и керамическая черепица</t>
  </si>
  <si>
    <t>Декра (Decra)</t>
  </si>
  <si>
    <t xml:space="preserve"> 1.8</t>
  </si>
  <si>
    <t>Профнастил НС35</t>
  </si>
  <si>
    <t>1.12. Водосток GL</t>
  </si>
  <si>
    <t>Дымоходы</t>
  </si>
  <si>
    <t>Профнастил Н60</t>
  </si>
  <si>
    <t xml:space="preserve"> 3.1, 4.1</t>
  </si>
  <si>
    <t>1.13. Водосток Optima</t>
  </si>
  <si>
    <t>Драп (Drap)</t>
  </si>
  <si>
    <t>Профнастил Н75</t>
  </si>
  <si>
    <t xml:space="preserve">1.14. Водосток пластиковый GL Standart </t>
  </si>
  <si>
    <t>Дрипстоп (Dripstop)</t>
  </si>
  <si>
    <t xml:space="preserve"> 1.1, 1.3, 2.1, 3.1</t>
  </si>
  <si>
    <t>Профнастил фигурный</t>
  </si>
  <si>
    <t>1.15. Элементы безопасности кровли Grand Line</t>
  </si>
  <si>
    <t>Дымник</t>
  </si>
  <si>
    <t xml:space="preserve"> 1.1, 1.2, 1.24</t>
  </si>
  <si>
    <t>Пурал (Green Coat Pural)</t>
  </si>
  <si>
    <t>1.16. Элементы безопасности кровли Optima</t>
  </si>
  <si>
    <t>З</t>
  </si>
  <si>
    <t>Пурал Мат (GreenCoat Pural Matt)</t>
  </si>
  <si>
    <t>1.17. Вентиляция Vilpe</t>
  </si>
  <si>
    <t>5. СОПУТСТВУЮЩИЕ ТОВАРЫ</t>
  </si>
  <si>
    <t>Забор модульный</t>
  </si>
  <si>
    <t xml:space="preserve"> 4.4</t>
  </si>
  <si>
    <t>Р</t>
  </si>
  <si>
    <t>5.1. Гидро-пароизоляция</t>
  </si>
  <si>
    <t>Забор панельный</t>
  </si>
  <si>
    <t xml:space="preserve"> 4.2, 4.3</t>
  </si>
  <si>
    <t>Роквул (Rockwool)</t>
  </si>
  <si>
    <t xml:space="preserve"> 5.3</t>
  </si>
  <si>
    <t>5.2. Комплектующие</t>
  </si>
  <si>
    <t>Заклепка вытяжная</t>
  </si>
  <si>
    <t>5.3. Утеплители Роквул/Техно/Кнауф</t>
  </si>
  <si>
    <t>И</t>
  </si>
  <si>
    <t>Рулонная сетка</t>
  </si>
  <si>
    <t>5.4. Экструзионный пенополистирол XPS CARBON ECO и профилированные мембраны Planter</t>
  </si>
  <si>
    <t>Изоляция</t>
  </si>
  <si>
    <t xml:space="preserve"> 5.1, 5.2</t>
  </si>
  <si>
    <t>С</t>
  </si>
  <si>
    <t>Икопал</t>
  </si>
  <si>
    <t xml:space="preserve"> 1.5</t>
  </si>
  <si>
    <t>Сайдинг виниловый</t>
  </si>
  <si>
    <t>5.5. Инструменты</t>
  </si>
  <si>
    <t>Инструменты</t>
  </si>
  <si>
    <t xml:space="preserve"> 1.3, 5.5, 5.6</t>
  </si>
  <si>
    <t>Сайдинг металлический</t>
  </si>
  <si>
    <t xml:space="preserve"> 3.1</t>
  </si>
  <si>
    <t>5.6. Инструменты 2</t>
  </si>
  <si>
    <t>К</t>
  </si>
  <si>
    <t>Саморезы</t>
  </si>
  <si>
    <t>Калитки</t>
  </si>
  <si>
    <t xml:space="preserve"> 4.7</t>
  </si>
  <si>
    <t>Сатин (Satin)</t>
  </si>
  <si>
    <t>Камея (Kamea)</t>
  </si>
  <si>
    <t xml:space="preserve"> 1.1</t>
  </si>
  <si>
    <t>Сафари (Safari)</t>
  </si>
  <si>
    <t>Карбон Эко (Carbon Eco)</t>
  </si>
  <si>
    <t>Сертентид (CertainTeed)</t>
  </si>
  <si>
    <t>Кварцит (Quarzit)</t>
  </si>
  <si>
    <t>Снегозадержатель</t>
  </si>
  <si>
    <t xml:space="preserve"> 1.1, 1.4, 1.5, 1.15, 1.16</t>
  </si>
  <si>
    <t>Кварцит Лайт (Quarzit Lite)</t>
  </si>
  <si>
    <t>Софит виниловый</t>
  </si>
  <si>
    <t xml:space="preserve"> 1.1, 3.3</t>
  </si>
  <si>
    <t>Квинта (Kvinta)</t>
  </si>
  <si>
    <t>Софит металлический</t>
  </si>
  <si>
    <t>Кедрал (Cedral)</t>
  </si>
  <si>
    <t xml:space="preserve"> 3.6</t>
  </si>
  <si>
    <t>Ставни</t>
  </si>
  <si>
    <t>2. ЦИНК</t>
  </si>
  <si>
    <t>6. ТОВАРЫ ДЛЯ БЛАГОУСТРОЙСТВА</t>
  </si>
  <si>
    <t>Керамическая черепица</t>
  </si>
  <si>
    <t xml:space="preserve"> 1.11</t>
  </si>
  <si>
    <t>Стальной бобер</t>
  </si>
  <si>
    <t xml:space="preserve"> 1.1, 1.3, 3.1, 4.1, 5.5</t>
  </si>
  <si>
    <t>2.1. Профилировка и доборные элементы в цинке</t>
  </si>
  <si>
    <t>6.1. Террасная доска МастерДэк, Теплицы, Шпалерные столбы</t>
  </si>
  <si>
    <t>Кликфальц</t>
  </si>
  <si>
    <t>Стеклоизол</t>
  </si>
  <si>
    <t>Кляммер</t>
  </si>
  <si>
    <t xml:space="preserve"> 1.3, 2.1, 5.2</t>
  </si>
  <si>
    <t>Т</t>
  </si>
  <si>
    <t>Кнауф (Knauf)</t>
  </si>
  <si>
    <t>Теплицы</t>
  </si>
  <si>
    <t>Козырек</t>
  </si>
  <si>
    <t>Террасная доска</t>
  </si>
  <si>
    <t>Колорити (Colority)</t>
  </si>
  <si>
    <t>У</t>
  </si>
  <si>
    <t>Колпак</t>
  </si>
  <si>
    <t>Утеплитель</t>
  </si>
  <si>
    <t xml:space="preserve"> 1.2, 3.1, 5.3</t>
  </si>
  <si>
    <t>Колпак двойной</t>
  </si>
  <si>
    <t>Уплотнитель</t>
  </si>
  <si>
    <t xml:space="preserve"> 1.1, 1.2, 3.1, 5.2</t>
  </si>
  <si>
    <t>Колпак под фонарь</t>
  </si>
  <si>
    <t>Ф</t>
  </si>
  <si>
    <t>3. ФАСАД</t>
  </si>
  <si>
    <t>7. УПАКОВКА</t>
  </si>
  <si>
    <t>Композитная черепица</t>
  </si>
  <si>
    <t>Факро (Fakro)</t>
  </si>
  <si>
    <t xml:space="preserve"> 1.20</t>
  </si>
  <si>
    <t>3.1. Фасадный профнастил и мет.сайдинг, навесная фасадная система для ИЖС</t>
  </si>
  <si>
    <t>Корректор</t>
  </si>
  <si>
    <t xml:space="preserve"> 1.1, 1.2, 1.3, 1.12, 3.1, 4.1, 4.3, 5.2</t>
  </si>
  <si>
    <t>Фальц двойной стоячий</t>
  </si>
  <si>
    <t xml:space="preserve"> 1.3, 2.1</t>
  </si>
  <si>
    <t>Кровент (Krovent)</t>
  </si>
  <si>
    <t>Фасад вентилируемый</t>
  </si>
  <si>
    <t>3.2. Доборные элементы для фасада</t>
  </si>
  <si>
    <t>Л</t>
  </si>
  <si>
    <t>3.3. Виниловый, акриловый сайдинг</t>
  </si>
  <si>
    <t>Лента карнизная</t>
  </si>
  <si>
    <t>Фиброцементный сайдинг</t>
  </si>
  <si>
    <t>3.4. Декоративные элементы Mid-America</t>
  </si>
  <si>
    <t>Лента примыкания</t>
  </si>
  <si>
    <t>Фигурный профнастил</t>
  </si>
  <si>
    <t>Лестница кровельная</t>
  </si>
  <si>
    <t xml:space="preserve"> 1.15, 1.16</t>
  </si>
  <si>
    <t>Флюгер</t>
  </si>
  <si>
    <t>Лестница стеновая</t>
  </si>
  <si>
    <t>Х</t>
  </si>
  <si>
    <t>8. РЕКЛАМНАЯ ПРОДУКЦИЯ</t>
  </si>
  <si>
    <t>Лестница чердачная</t>
  </si>
  <si>
    <t>Хауберк (Hauberk)</t>
  </si>
  <si>
    <t>Листогибы</t>
  </si>
  <si>
    <t xml:space="preserve"> 5.6</t>
  </si>
  <si>
    <t>Локинокс (Locinox)</t>
  </si>
  <si>
    <t xml:space="preserve"> 4.8</t>
  </si>
  <si>
    <t>Люксард (Luxard)</t>
  </si>
  <si>
    <t xml:space="preserve"> 1.9</t>
  </si>
  <si>
    <t>Ц</t>
  </si>
  <si>
    <t>М</t>
  </si>
  <si>
    <t>Цинк (Zn)</t>
  </si>
  <si>
    <t xml:space="preserve"> 2.1</t>
  </si>
  <si>
    <t>МастерДэк (MasterDeck)</t>
  </si>
  <si>
    <t>Цинк-алюминий (ZnAl, ZA)</t>
  </si>
  <si>
    <t>Мастер Флэш</t>
  </si>
  <si>
    <t>Цоколь</t>
  </si>
  <si>
    <t>Металлочерепица</t>
  </si>
  <si>
    <t xml:space="preserve"> 1.1, 1.7</t>
  </si>
  <si>
    <t>Ш</t>
  </si>
  <si>
    <t>9. АДРЕСА ОФИСОВ ПРОДАЖ</t>
  </si>
  <si>
    <t>Метротайл (Metrotile)</t>
  </si>
  <si>
    <t xml:space="preserve"> 1.10</t>
  </si>
  <si>
    <t>Шинглас</t>
  </si>
  <si>
    <t xml:space="preserve"> 1.4</t>
  </si>
  <si>
    <t>Мостик кровельный</t>
  </si>
  <si>
    <t>Шлагбаумы</t>
  </si>
  <si>
    <t xml:space="preserve"> 4.6</t>
  </si>
  <si>
    <t>Мягкая кровля</t>
  </si>
  <si>
    <t>Шпалерные столбы</t>
  </si>
  <si>
    <t>Мерный лист</t>
  </si>
  <si>
    <t>Штакетник</t>
  </si>
  <si>
    <t>Штрипс</t>
  </si>
  <si>
    <t xml:space="preserve"> 1.2, 1.3, 2.1, 4.1</t>
  </si>
  <si>
    <t>Штора</t>
  </si>
  <si>
    <t>Э</t>
  </si>
  <si>
    <t>Элементы безопасности</t>
  </si>
  <si>
    <t>Я</t>
  </si>
  <si>
    <t>Дата изменения</t>
  </si>
  <si>
    <t>Изменение</t>
  </si>
  <si>
    <r>
      <rPr>
        <b/>
        <sz val="10"/>
        <color indexed="8"/>
        <rFont val="Arial Cyr"/>
        <charset val="204"/>
      </rPr>
      <t>Цены:</t>
    </r>
    <r>
      <rPr>
        <sz val="10"/>
        <color indexed="8"/>
        <rFont val="Arial Cyr"/>
        <charset val="204"/>
      </rPr>
      <t xml:space="preserve"> изменение цен ПН в PE дачный склад, МЧ Classic в PE 0,4 пр-во Нижний-Новгород (вся проф., 1.1, 4.1);  повышение цен и изменение ассортимента ограждений (4.2, 4.3, 4.4, 4.5, 4.6, 4.8); повышение цены подкл. ковра Fel`X (1.3, 5.1, 5.2, 1.5). </t>
    </r>
    <r>
      <rPr>
        <b/>
        <sz val="10"/>
        <color indexed="8"/>
        <rFont val="Arial Cyr"/>
        <charset val="204"/>
      </rPr>
      <t>Новинки:</t>
    </r>
    <r>
      <rPr>
        <sz val="10"/>
        <color indexed="8"/>
        <rFont val="Arial Cyr"/>
        <charset val="204"/>
      </rPr>
      <t xml:space="preserve"> доборные элементы для МЧ (1.2) и фасадных фальцевых панелей (2.1, 3.2); мембраны ISOBOX (5.1); пластиковый водосток GL Standart (1.14); фасадные панели Я-Фасад екатирининский камень (3.5); виниловый сайдинг Корабельный брус D3,7 Лайт (3.3); ЭБК для композитной черепицы (1.16). </t>
    </r>
    <r>
      <rPr>
        <b/>
        <sz val="10"/>
        <color indexed="8"/>
        <rFont val="Arial Cyr"/>
        <charset val="204"/>
      </rPr>
      <t>Прочие изменения</t>
    </r>
    <r>
      <rPr>
        <sz val="10"/>
        <color indexed="8"/>
        <rFont val="Arial Cyr"/>
        <charset val="204"/>
      </rPr>
      <t>, в том числе примечания (вся проф., 1.2, 1.3, 1.7, 1.13, 1.15, 1.16, 3.1, 3.6, 4.1,)</t>
    </r>
  </si>
  <si>
    <t>Техническая корректировка цен профилированной продукции в покрытиях ПЭ 0,45 и Цинк 0,35-0,9 (в.п., 1.1, 2.1, 3.1, 4.1), исправление опечатки стр. 1.2</t>
  </si>
  <si>
    <t>Изменение цен профилировки и доборных элементов (вся профилировка, 1.1, 1.2, 1.3, 1.4, 2.1, 3.1, 3.2, 4.1)</t>
  </si>
  <si>
    <t>Изменение цен теплиц (6.1), закончилась акция на инструмент (5.5), изменение складского ассортимента ограждений (4.2, 4.3, 4.4, 4.5, 4.6, 4.7), изменение доборных элементов (1.2, 2.1, 3.2), корректировка примечаний (вся профилировка, 1.1)</t>
  </si>
  <si>
    <t>Изменение цен утеплителя Knauf, Rockwool (5.3)</t>
  </si>
  <si>
    <t>Изменение цен ЦПЧ и керамической черепицы Braas (1.18), новинка КЧ Grand Line (1.7), изменения складского ассортимента ограждений (4.3, 4.4, 4.7, 4.8), технические корректировки на стр. 1.11, 3.2</t>
  </si>
  <si>
    <t>Повышение цен композитной черепицы DECRA</t>
  </si>
  <si>
    <t>Акция на композитную черепицу Luxard</t>
  </si>
  <si>
    <t xml:space="preserve">Повышение цен фиброцементного сайдинга Cedral, снижение цен изменительного инструмента </t>
  </si>
  <si>
    <t>повышение цены утеплителя ROCKWOOL ЛАЙТ БАТТС СКАНДИК</t>
  </si>
  <si>
    <t>Завершена акция на инструменты. Завершена акция на Luxard, повышение цен Luxard.</t>
  </si>
  <si>
    <t>Ликвидация остатков</t>
  </si>
  <si>
    <t xml:space="preserve">РАСПРОДАЖА СКЛАДСКИХ ОСТАТКОВ МЕТАЛЛИЧЕСКОГО ШТАКЕТНИКА </t>
  </si>
  <si>
    <t>Покрытие</t>
  </si>
  <si>
    <t>Цвет</t>
  </si>
  <si>
    <t>Длина, мм</t>
  </si>
  <si>
    <t>Цена, руб./п.м.</t>
  </si>
  <si>
    <t>М-образный</t>
  </si>
  <si>
    <t>Круглый фигурный</t>
  </si>
  <si>
    <t>PE</t>
  </si>
  <si>
    <t>1800, 2000</t>
  </si>
  <si>
    <t>PE-double</t>
  </si>
  <si>
    <t>1500, 2000</t>
  </si>
  <si>
    <t>Прямоугольный</t>
  </si>
  <si>
    <t>1500, 1800, 2000</t>
  </si>
  <si>
    <t>3005, 6005</t>
  </si>
  <si>
    <t>Colority Print-double</t>
  </si>
  <si>
    <t>Antique Dub, Golden Dub</t>
  </si>
  <si>
    <t>Прямоугольный фигурный</t>
  </si>
  <si>
    <t>Colority Print</t>
  </si>
  <si>
    <t>П-образный</t>
  </si>
  <si>
    <t xml:space="preserve">Antique Dub </t>
  </si>
  <si>
    <t>3005, 6005, 8017</t>
  </si>
  <si>
    <t>Golden Dub</t>
  </si>
  <si>
    <t>Планка П-образная для штакетника</t>
  </si>
  <si>
    <t>Круглый</t>
  </si>
  <si>
    <t>Распродажа проводится до исчерпания складских остатков. 
Акутальные остатки продукции уточняйте у менеджера.</t>
  </si>
  <si>
    <t>Наименование</t>
  </si>
  <si>
    <t>Белый</t>
  </si>
  <si>
    <t>J-профиль</t>
  </si>
  <si>
    <t>Угол наружный</t>
  </si>
  <si>
    <t>Информацию о доставке и иные подробности уточняйте у менеджеров по продажам</t>
  </si>
  <si>
    <t>Вернуться в начало</t>
  </si>
  <si>
    <t>дата изменения страницы прайса:</t>
  </si>
  <si>
    <t>Профилированная продукция Grand Line</t>
  </si>
  <si>
    <t>цены действительны с</t>
  </si>
  <si>
    <t>Наименование профиля</t>
  </si>
  <si>
    <t>Ширина общая / полезная, мм</t>
  </si>
  <si>
    <t>Длина, м</t>
  </si>
  <si>
    <t>Цена, руб./кв.м.</t>
  </si>
  <si>
    <t>Design</t>
  </si>
  <si>
    <t>Premium</t>
  </si>
  <si>
    <t>GreenCoat Pural, Pural Matt</t>
  </si>
  <si>
    <t>Polydexter</t>
  </si>
  <si>
    <t>Standart +</t>
  </si>
  <si>
    <t>Optima</t>
  </si>
  <si>
    <t>Цинк</t>
  </si>
  <si>
    <t>Colority
Print dp</t>
  </si>
  <si>
    <t>Colority
Print</t>
  </si>
  <si>
    <t>Safari</t>
  </si>
  <si>
    <t xml:space="preserve">Quarzit </t>
  </si>
  <si>
    <t>Quarzit lite</t>
  </si>
  <si>
    <t>Velur</t>
  </si>
  <si>
    <t>Atlas</t>
  </si>
  <si>
    <t>Drap</t>
  </si>
  <si>
    <t>Satin</t>
  </si>
  <si>
    <t xml:space="preserve">PE двс </t>
  </si>
  <si>
    <t>PE производство</t>
  </si>
  <si>
    <t>PE склад</t>
  </si>
  <si>
    <t>Zn</t>
  </si>
  <si>
    <t>Защитный слой, гр/кв.м.</t>
  </si>
  <si>
    <t>Zn 200</t>
  </si>
  <si>
    <t>ZA 265</t>
  </si>
  <si>
    <t>Zn 275</t>
  </si>
  <si>
    <t>Zn 100</t>
  </si>
  <si>
    <t>Zn 140</t>
  </si>
  <si>
    <t xml:space="preserve"> Zn 100</t>
  </si>
  <si>
    <t>Zn 80-140</t>
  </si>
  <si>
    <t>Zn 140-180</t>
  </si>
  <si>
    <t>Толщина металла, мм/покрытия, мкм</t>
  </si>
  <si>
    <t>0,45/30</t>
  </si>
  <si>
    <t>0,5/55</t>
  </si>
  <si>
    <t>0,5/25</t>
  </si>
  <si>
    <t>0,5/35</t>
  </si>
  <si>
    <t>0,5/50</t>
  </si>
  <si>
    <t>0,5/25-27</t>
  </si>
  <si>
    <t>0,5/30</t>
  </si>
  <si>
    <t>0,45/25</t>
  </si>
  <si>
    <t>Письменная гарантия Grand Line</t>
  </si>
  <si>
    <t>20 лет</t>
  </si>
  <si>
    <t>30 лет</t>
  </si>
  <si>
    <t>10 лет</t>
  </si>
  <si>
    <t>2 года</t>
  </si>
  <si>
    <t>1 год</t>
  </si>
  <si>
    <t>6 месяцев</t>
  </si>
  <si>
    <t>Металлочерепица, фальцевая кровля и софит металлический</t>
  </si>
  <si>
    <t>Kvinta plus</t>
  </si>
  <si>
    <t>1,21/1,15</t>
  </si>
  <si>
    <t>0,5/6,5</t>
  </si>
  <si>
    <t>-</t>
  </si>
  <si>
    <t>Kamea</t>
  </si>
  <si>
    <t>1,18/1,085</t>
  </si>
  <si>
    <t>Kredo</t>
  </si>
  <si>
    <t>1,19/1,125</t>
  </si>
  <si>
    <t>Classic</t>
  </si>
  <si>
    <t>1,183/1,1</t>
  </si>
  <si>
    <t>0,5/6,5 
(0,5/8 СПБ)</t>
  </si>
  <si>
    <t>Modern</t>
  </si>
  <si>
    <t>0,357/0,325</t>
  </si>
  <si>
    <t>0,2/6</t>
  </si>
  <si>
    <t>Обн.: 0,625/0,55</t>
  </si>
  <si>
    <t>1,2/9</t>
  </si>
  <si>
    <t>Обн.: 0,542/0,51</t>
  </si>
  <si>
    <r>
      <t xml:space="preserve">Кликфальц Mini </t>
    </r>
    <r>
      <rPr>
        <b/>
        <sz val="10"/>
        <color indexed="10"/>
        <rFont val="Arial Cyr"/>
        <charset val="204"/>
      </rPr>
      <t>NEW</t>
    </r>
  </si>
  <si>
    <t>Обн.: 0,334/0,31 СПБ: 0,334/0,307</t>
  </si>
  <si>
    <t>Профилированный лист</t>
  </si>
  <si>
    <t>1,2/1,16</t>
  </si>
  <si>
    <t>0,5/8</t>
  </si>
  <si>
    <t>1,18/1,15</t>
  </si>
  <si>
    <t>1,5/3</t>
  </si>
  <si>
    <t>Обн., НН, СПБ: 1,165/1,11
Врн.: 1,15/1,11</t>
  </si>
  <si>
    <t>1,051/1,0</t>
  </si>
  <si>
    <t>0,5/12</t>
  </si>
  <si>
    <t>1,06/1,0</t>
  </si>
  <si>
    <t xml:space="preserve"> - </t>
  </si>
  <si>
    <t>0,902/0,845</t>
  </si>
  <si>
    <t>0,8/0,75</t>
  </si>
  <si>
    <t>Штрипс, отмотка и плоский лист</t>
  </si>
  <si>
    <t>Штрипс для фальца (625 мм)</t>
  </si>
  <si>
    <t>0,625/-</t>
  </si>
  <si>
    <t>0,5/400</t>
  </si>
  <si>
    <t>1,250/-</t>
  </si>
  <si>
    <t>Корабельная Доска</t>
  </si>
  <si>
    <t>Обн.: 0,265/0,24
НН: 0,261/0,235</t>
  </si>
  <si>
    <t>0,5/6</t>
  </si>
  <si>
    <t>Вертикаль</t>
  </si>
  <si>
    <t>0,2/0,176</t>
  </si>
  <si>
    <t>ЭкоБрус/Gofr</t>
  </si>
  <si>
    <t>0,345/0,32</t>
  </si>
  <si>
    <t>Обн: 0,361/0,334</t>
  </si>
  <si>
    <t>Металлический штакетник, Цена, руб/п.м.</t>
  </si>
  <si>
    <t>П/М-образный</t>
  </si>
  <si>
    <t>0,1/-</t>
  </si>
  <si>
    <t>0,5/2,5</t>
  </si>
  <si>
    <t>П/М-образный Фигурный</t>
  </si>
  <si>
    <t>0,128 / -</t>
  </si>
  <si>
    <t>0,5/3,5</t>
  </si>
  <si>
    <t>0,118 / -</t>
  </si>
  <si>
    <t>Круглый Фигурный</t>
  </si>
  <si>
    <t>Прямоугольный Фигурный</t>
  </si>
  <si>
    <t>Примечания</t>
  </si>
  <si>
    <r>
      <t xml:space="preserve">Сопутствующие товары </t>
    </r>
    <r>
      <rPr>
        <b/>
        <sz val="10"/>
        <rFont val="Arial Cyr"/>
        <charset val="204"/>
      </rPr>
      <t>КРОВЛИ</t>
    </r>
  </si>
  <si>
    <t>Цена</t>
  </si>
  <si>
    <r>
      <t xml:space="preserve">Сопутствующие товары </t>
    </r>
    <r>
      <rPr>
        <b/>
        <sz val="10"/>
        <rFont val="Arial Cyr"/>
        <charset val="204"/>
      </rPr>
      <t>ФАСАДА</t>
    </r>
  </si>
  <si>
    <r>
      <t xml:space="preserve">Сопутствующие товары </t>
    </r>
    <r>
      <rPr>
        <b/>
        <sz val="10"/>
        <rFont val="Arial Cyr"/>
        <charset val="204"/>
      </rPr>
      <t>ЗАБОРА</t>
    </r>
  </si>
  <si>
    <t>Вся продукция изготавливается из металла по ГОСТ 52146-2003 и ГОСТ 52246-2004</t>
  </si>
  <si>
    <r>
      <rPr>
        <b/>
        <sz val="10"/>
        <rFont val="Arial Cyr"/>
        <charset val="204"/>
      </rPr>
      <t>Корректор</t>
    </r>
    <r>
      <rPr>
        <sz val="10"/>
        <rFont val="Arial Cyr"/>
        <charset val="204"/>
      </rPr>
      <t xml:space="preserve"> для ремонта царапин, RAL</t>
    </r>
  </si>
  <si>
    <t>Просекатель овальных отверстий 3,5х15мм EDMA</t>
  </si>
  <si>
    <t>Колпак на столбы для ограждений 390*390</t>
  </si>
  <si>
    <t>DRIPSTOP - антиконденсатное покрытие для профнастилов - указан коэффициент расчета на 1 кв.м  
(C8=1; C10=1,017; С20=1,043; НС35=1,132; Н60=1,33; Н75=1,5)</t>
  </si>
  <si>
    <t>Аэроэлемент конька Grand Line</t>
  </si>
  <si>
    <r>
      <rPr>
        <b/>
        <sz val="10"/>
        <rFont val="Arial Cyr"/>
        <charset val="204"/>
      </rPr>
      <t>Саморез</t>
    </r>
    <r>
      <rPr>
        <sz val="10"/>
        <rFont val="Arial Cyr"/>
        <charset val="204"/>
      </rPr>
      <t xml:space="preserve"> 5,5*19 Zn, Ral</t>
    </r>
  </si>
  <si>
    <t>Колпак на столб под заказ (390*390)</t>
  </si>
  <si>
    <r>
      <rPr>
        <b/>
        <sz val="10"/>
        <rFont val="Arial Cyr"/>
        <charset val="204"/>
      </rPr>
      <t xml:space="preserve">PELTI </t>
    </r>
    <r>
      <rPr>
        <sz val="10"/>
        <rFont val="Arial Cyr"/>
        <charset val="204"/>
      </rPr>
      <t>- проходной элемент Vilpe</t>
    </r>
  </si>
  <si>
    <r>
      <rPr>
        <b/>
        <sz val="10"/>
        <rFont val="Arial Cyr"/>
        <charset val="204"/>
      </rPr>
      <t>Саморезы с прессшайбой</t>
    </r>
    <r>
      <rPr>
        <sz val="10"/>
        <rFont val="Arial Cyr"/>
        <charset val="204"/>
      </rPr>
      <t xml:space="preserve"> 4,2х16</t>
    </r>
  </si>
  <si>
    <t>Колпак на столб под фонарь (390*390)</t>
  </si>
  <si>
    <r>
      <rPr>
        <b/>
        <sz val="10"/>
        <rFont val="Arial Cyr"/>
        <charset val="204"/>
      </rPr>
      <t xml:space="preserve">Лента вентиляционная Grand Line </t>
    </r>
    <r>
      <rPr>
        <sz val="10"/>
        <rFont val="Arial Cyr"/>
        <charset val="204"/>
      </rPr>
      <t>для карниза</t>
    </r>
  </si>
  <si>
    <r>
      <rPr>
        <b/>
        <sz val="10"/>
        <rFont val="Arial Cyr"/>
        <charset val="204"/>
      </rPr>
      <t>Утеплитель</t>
    </r>
    <r>
      <rPr>
        <sz val="10"/>
        <rFont val="Arial Cyr"/>
        <charset val="204"/>
      </rPr>
      <t xml:space="preserve"> ROCKWOOL</t>
    </r>
  </si>
  <si>
    <t>Колпак на столб двойной (390*390)</t>
  </si>
  <si>
    <t>Лента примыкания Grand Line</t>
  </si>
  <si>
    <r>
      <rPr>
        <b/>
        <sz val="10"/>
        <rFont val="Arial Cyr"/>
        <charset val="204"/>
      </rPr>
      <t>Защитный козырек</t>
    </r>
    <r>
      <rPr>
        <sz val="10"/>
        <rFont val="Arial Cyr"/>
        <charset val="204"/>
      </rPr>
      <t xml:space="preserve"> Krovent </t>
    </r>
  </si>
  <si>
    <t>Планка П-образная заборная 20</t>
  </si>
  <si>
    <r>
      <rPr>
        <b/>
        <sz val="10"/>
        <rFont val="Arial Cyr"/>
        <charset val="204"/>
      </rPr>
      <t xml:space="preserve">Насадка-ножницы </t>
    </r>
    <r>
      <rPr>
        <sz val="10"/>
        <rFont val="Arial Cyr"/>
        <charset val="204"/>
      </rPr>
      <t>Стальной Бобер по металлу</t>
    </r>
  </si>
  <si>
    <r>
      <rPr>
        <b/>
        <sz val="10"/>
        <rFont val="Arial Cyr"/>
        <charset val="204"/>
      </rPr>
      <t>Ветро-влагозащита</t>
    </r>
    <r>
      <rPr>
        <sz val="10"/>
        <rFont val="Arial Cyr"/>
        <charset val="204"/>
      </rPr>
      <t xml:space="preserve"> (Folder, Изоспан и т.д)</t>
    </r>
  </si>
  <si>
    <t>Планка П-образная заборная 17</t>
  </si>
  <si>
    <r>
      <rPr>
        <b/>
        <sz val="10"/>
        <rFont val="Arial Cyr"/>
        <charset val="204"/>
      </rPr>
      <t>Магнитная насадка</t>
    </r>
    <r>
      <rPr>
        <sz val="10"/>
        <rFont val="Arial Cyr"/>
        <charset val="204"/>
      </rPr>
      <t xml:space="preserve"> 8х45/48 для саморезов</t>
    </r>
  </si>
  <si>
    <r>
      <rPr>
        <b/>
        <sz val="10"/>
        <rFont val="Arial Cyr"/>
        <charset val="204"/>
      </rPr>
      <t>Гидроизоляция</t>
    </r>
    <r>
      <rPr>
        <sz val="10"/>
        <rFont val="Arial Cyr"/>
        <charset val="204"/>
      </rPr>
      <t xml:space="preserve"> (Изоспан, Folder, Optima)</t>
    </r>
  </si>
  <si>
    <t>Заклепочник для вытяжных заклепок</t>
  </si>
  <si>
    <t xml:space="preserve">Дюбель фасадный </t>
  </si>
  <si>
    <t>Заклепка вытяжная 3,2х8, Ral</t>
  </si>
  <si>
    <r>
      <rPr>
        <b/>
        <sz val="10"/>
        <rFont val="Arial Cyr"/>
        <charset val="204"/>
      </rPr>
      <t>Дымник на трубу</t>
    </r>
    <r>
      <rPr>
        <sz val="10"/>
        <rFont val="Arial Cyr"/>
        <charset val="204"/>
      </rPr>
      <t xml:space="preserve"> </t>
    </r>
  </si>
  <si>
    <t>Крепежный кронштейн усиленный</t>
  </si>
  <si>
    <t>Заклепка вытяжная 4,0х10, Ral</t>
  </si>
  <si>
    <t>Кровельный герметик Grand Line Professional</t>
  </si>
  <si>
    <t>Крепежный кронштейн угловой</t>
  </si>
  <si>
    <t>Cаморез универсальный острая 3,5х20</t>
  </si>
  <si>
    <t>Без пленки изготавливаются: все виды МЧ во всех покрытиях; штакетники М/П-образные, Круглый, Прямоугольный (в т.ч. фигурные) во всех покрытиях; металлический сайдинг во всех покрытиях</t>
  </si>
  <si>
    <r>
      <rPr>
        <b/>
        <sz val="10"/>
        <rFont val="Arial Cyr"/>
        <charset val="204"/>
      </rPr>
      <t>Пистолет</t>
    </r>
    <r>
      <rPr>
        <sz val="10"/>
        <rFont val="Arial Cyr"/>
        <charset val="204"/>
      </rPr>
      <t xml:space="preserve"> для герметика усиленный No-drop</t>
    </r>
  </si>
  <si>
    <t xml:space="preserve">Крепежный профиль Г-образный </t>
  </si>
  <si>
    <t>Саморезы 5,5 х 19/25/32</t>
  </si>
  <si>
    <r>
      <rPr>
        <b/>
        <sz val="10"/>
        <rFont val="Arial Cyr"/>
        <charset val="204"/>
      </rPr>
      <t xml:space="preserve">NICOBAND </t>
    </r>
    <r>
      <rPr>
        <sz val="10"/>
        <rFont val="Arial Cyr"/>
        <charset val="204"/>
      </rPr>
      <t>герметизирующая лента</t>
    </r>
  </si>
  <si>
    <t>Уплотнитель паронитовый</t>
  </si>
  <si>
    <t>Саморезы 4,8 х 19 Zn, Ral</t>
  </si>
  <si>
    <t>Внимание! При производстве профнастила С10 в НН возможны дефекты. Подробная информация у менеджера.</t>
  </si>
  <si>
    <r>
      <t>Снегозадержатель Grand Line</t>
    </r>
    <r>
      <rPr>
        <sz val="10"/>
        <rFont val="Arial Cyr"/>
        <charset val="204"/>
      </rPr>
      <t xml:space="preserve"> универсальный</t>
    </r>
  </si>
  <si>
    <t>Premium софит Т3 Estetic (ПВХ)</t>
  </si>
  <si>
    <t>Парапетная крышка прямая</t>
  </si>
  <si>
    <t>Металлический сайдинг Коробельная доска в покрытии Print и Полиэстер 0,45 цветах RAL  1014, 1015, 7004, 8017, 9003 произ-ва НН и Полиэстер 0,45 в цветах RAL 1014, 1015, 3005, 7004, 7024, 8017, 9003 произ-ва СПб изготавливаются без наценки в стандартные сроки в любом объеме</t>
  </si>
  <si>
    <r>
      <t>Уплотнитель</t>
    </r>
    <r>
      <rPr>
        <sz val="10"/>
        <rFont val="Arial Cyr"/>
        <charset val="204"/>
      </rPr>
      <t xml:space="preserve"> универсальный</t>
    </r>
  </si>
  <si>
    <t>Софит T3 GL Amerika (ПВХ)</t>
  </si>
  <si>
    <t>Парапетная крышка угольная</t>
  </si>
  <si>
    <r>
      <rPr>
        <b/>
        <sz val="10"/>
        <rFont val="Arial Cyr"/>
        <charset val="204"/>
      </rPr>
      <t>Мембрана</t>
    </r>
    <r>
      <rPr>
        <sz val="10"/>
        <rFont val="Arial Cyr"/>
        <charset val="204"/>
      </rPr>
      <t xml:space="preserve"> (Folder, Изоспан и пр.)</t>
    </r>
  </si>
  <si>
    <t>Н-профиль соединительный (ПВХ)</t>
  </si>
  <si>
    <t>Нестандартный доборный элемент</t>
  </si>
  <si>
    <r>
      <rPr>
        <b/>
        <sz val="10"/>
        <rFont val="Arial Cyr"/>
        <charset val="204"/>
      </rPr>
      <t xml:space="preserve">Пленка </t>
    </r>
    <r>
      <rPr>
        <sz val="10"/>
        <rFont val="Arial Cyr"/>
        <charset val="204"/>
      </rPr>
      <t>пароизоляция (Folder, Delta и пр.)</t>
    </r>
  </si>
  <si>
    <t>J-профиль (ПВХ)</t>
  </si>
  <si>
    <r>
      <rPr>
        <b/>
        <sz val="10"/>
        <rFont val="Arial Cyr"/>
        <charset val="204"/>
      </rPr>
      <t xml:space="preserve">Лента соединительная </t>
    </r>
    <r>
      <rPr>
        <sz val="10"/>
        <rFont val="Arial Cyr"/>
        <charset val="204"/>
      </rPr>
      <t>(Изоспан и пр.)</t>
    </r>
  </si>
  <si>
    <t>Финишная планка (ПВХ)</t>
  </si>
  <si>
    <r>
      <rPr>
        <b/>
        <sz val="10"/>
        <rFont val="Arial Cyr"/>
        <charset val="204"/>
      </rPr>
      <t>Саморез кровельный</t>
    </r>
    <r>
      <rPr>
        <sz val="10"/>
        <rFont val="Arial Cyr"/>
        <charset val="204"/>
      </rPr>
      <t xml:space="preserve"> 4,8*29 Zn, Ral</t>
    </r>
  </si>
  <si>
    <t>J-фаска (ветровая доска) (ПВХ)</t>
  </si>
  <si>
    <r>
      <rPr>
        <b/>
        <sz val="10"/>
        <rFont val="Arial Cyr"/>
        <charset val="204"/>
      </rPr>
      <t>Саморез кровельный</t>
    </r>
    <r>
      <rPr>
        <sz val="10"/>
        <rFont val="Arial Cyr"/>
        <charset val="204"/>
      </rPr>
      <t xml:space="preserve"> 4,8*70 (100 шт/уп) Zn, Ral</t>
    </r>
  </si>
  <si>
    <t>Наценка при заказе металлочерепицы и профнастила (+штрипсы, отмотки и плоского листа пр-ва Обн.,Врн., СПБ):</t>
  </si>
  <si>
    <r>
      <rPr>
        <b/>
        <sz val="10"/>
        <rFont val="Arial Cyr"/>
        <charset val="204"/>
      </rPr>
      <t xml:space="preserve">DRIPSTOP </t>
    </r>
    <r>
      <rPr>
        <sz val="10"/>
        <rFont val="Arial Cyr"/>
        <charset val="204"/>
      </rPr>
      <t xml:space="preserve">(на заказы &lt; 50 кв.м. не наносится) </t>
    </r>
  </si>
  <si>
    <t>Объем заказа</t>
  </si>
  <si>
    <t>Наценка</t>
  </si>
  <si>
    <t>Срок изготовления</t>
  </si>
  <si>
    <t>Наценка на металлический софит</t>
  </si>
  <si>
    <t>менее 5 кв.м.</t>
  </si>
  <si>
    <t>стандартный</t>
  </si>
  <si>
    <t xml:space="preserve">за заказ менее  25 кв.м. </t>
  </si>
  <si>
    <t>от 5 до 9,99 кв.м.</t>
  </si>
  <si>
    <t>от 10 до 25 кв.м.</t>
  </si>
  <si>
    <t>Сокращения: Обн. - проивзовдство Обнинск (Верховье); СПБ - производство Санкт-Петербург (Гатчино); НН - производство Нижний Новгород (Дружный); Врн - производство Воронеж (Масловская промзона)</t>
  </si>
  <si>
    <t>Наценка на фальцевую кровлю и мет.сайдинг:</t>
  </si>
  <si>
    <t>Услуги расчета материала:</t>
  </si>
  <si>
    <t>менее 25 кв.м.</t>
  </si>
  <si>
    <t>нет</t>
  </si>
  <si>
    <t>бессрочный</t>
  </si>
  <si>
    <t>Услуга расчета материала в Розничном отделе</t>
  </si>
  <si>
    <t>**** - Cтоимость доставки отмотки/штрипса из Обнинска в НН на поддоне Р 1300 руб/шт</t>
  </si>
  <si>
    <t xml:space="preserve">менее  7 кв.м. </t>
  </si>
  <si>
    <t>Услуга расчета материала в Дилерском отделе</t>
  </si>
  <si>
    <t>Примечания для Дачной продукции "Склад"</t>
  </si>
  <si>
    <t xml:space="preserve">от 7  до 24,99 кв.м. </t>
  </si>
  <si>
    <t xml:space="preserve">Дачный PE склад: ПН С8 и С20 поддерживаются в цветах RAL 3005, 6005, 8017 длиной 2 м и RAL 8017 длиной  1,8 м.  
Возможна доставка листов 1,7м, 1,8м, 2,5м в цветах RAL 3005, 6005, 8017. Отгружается пачками по 200 листов. </t>
  </si>
  <si>
    <t>от 25 до  49,99 кв.м.</t>
  </si>
  <si>
    <t>от 50 до 100 кв.м.</t>
  </si>
  <si>
    <t>менее 100 кв.м.</t>
  </si>
  <si>
    <t>Ваша скидка</t>
  </si>
  <si>
    <t>Premium+Design</t>
  </si>
  <si>
    <t>PURAL, 
PURAL МАTТ</t>
  </si>
  <si>
    <t>Polydexter
Matt</t>
  </si>
  <si>
    <t>Print Желтое дерево (только для НН)</t>
  </si>
  <si>
    <t>PE 0,8</t>
  </si>
  <si>
    <t>PE 0,7</t>
  </si>
  <si>
    <t>PE 0,65</t>
  </si>
  <si>
    <t>PE 0,45</t>
  </si>
  <si>
    <t>PE 0,4</t>
  </si>
  <si>
    <t>Фальцевая кровля</t>
  </si>
  <si>
    <t>Профнастил</t>
  </si>
  <si>
    <t>Плоский лист/отмотка/штрипс</t>
  </si>
  <si>
    <t>Металлический сайдинг</t>
  </si>
  <si>
    <t>Софит</t>
  </si>
  <si>
    <t>Штактеник</t>
  </si>
  <si>
    <t>1.1. Кровельные материалы и комплектующие</t>
  </si>
  <si>
    <t>Ширина профиля общаяя / полезная, мм</t>
  </si>
  <si>
    <t>Длина min/max, м</t>
  </si>
  <si>
    <t>Цена, руб./кв.м</t>
  </si>
  <si>
    <t xml:space="preserve">GreenCoat Pural, Pural Matt </t>
  </si>
  <si>
    <t>Толщина металла, мм / покрытия, мкм</t>
  </si>
  <si>
    <t>0,45 / 30</t>
  </si>
  <si>
    <t>0,5 / 55</t>
  </si>
  <si>
    <t>0,5 / 25</t>
  </si>
  <si>
    <t>0,5 / 35</t>
  </si>
  <si>
    <t>0,5 / 50</t>
  </si>
  <si>
    <t>0,5 / 25-27</t>
  </si>
  <si>
    <t>0,45 / 25</t>
  </si>
  <si>
    <t>Гарантия</t>
  </si>
  <si>
    <t>все цвета</t>
  </si>
  <si>
    <t>Металлочерепица Kvinta plus</t>
  </si>
  <si>
    <t>1210/1150</t>
  </si>
  <si>
    <t xml:space="preserve">Металлочерепица Kamea </t>
  </si>
  <si>
    <t>1180/1085</t>
  </si>
  <si>
    <t>Металлочерепица Kredo</t>
  </si>
  <si>
    <t>1190/1125</t>
  </si>
  <si>
    <t>Металлочерепица Classic</t>
  </si>
  <si>
    <t>1183/1100</t>
  </si>
  <si>
    <t>Металлочерепица Modern</t>
  </si>
  <si>
    <t>357/325</t>
  </si>
  <si>
    <t>Обн.: 625/550</t>
  </si>
  <si>
    <t>Обн.: 542/510</t>
  </si>
  <si>
    <t>Обн.: 334/310
СПБ: 334/307</t>
  </si>
  <si>
    <t>1180/1150</t>
  </si>
  <si>
    <t>Обн., НН, СПБ: 1165/1110
Врн.: 1150/1110</t>
  </si>
  <si>
    <t>1051/1000</t>
  </si>
  <si>
    <t>1060/1000</t>
  </si>
  <si>
    <t>625/-</t>
  </si>
  <si>
    <t>1250 / &lt;=1250мм</t>
  </si>
  <si>
    <t>6-волновый</t>
  </si>
  <si>
    <t>Цена, руб./шт</t>
  </si>
  <si>
    <t xml:space="preserve">Композитная металлочерепица Grand Line Classic </t>
  </si>
  <si>
    <t>Доборные элементы для виниловых софитов</t>
  </si>
  <si>
    <t>Размер, м</t>
  </si>
  <si>
    <t>Цена, руб/шт.</t>
  </si>
  <si>
    <t>Цена, руб/кв.м.</t>
  </si>
  <si>
    <t>Шт/уп.</t>
  </si>
  <si>
    <t>белый</t>
  </si>
  <si>
    <t>карамельный, темно-бежевый, золотой песок</t>
  </si>
  <si>
    <t>коричневый</t>
  </si>
  <si>
    <t>0,246х3 м</t>
  </si>
  <si>
    <r>
      <rPr>
        <b/>
        <sz val="10"/>
        <rFont val="Arial Cyr"/>
        <charset val="204"/>
      </rPr>
      <t>Н-профиль</t>
    </r>
    <r>
      <rPr>
        <sz val="10"/>
        <rFont val="Arial Cyr"/>
        <charset val="204"/>
      </rPr>
      <t xml:space="preserve"> соединительный</t>
    </r>
  </si>
  <si>
    <t>0,303х3 м</t>
  </si>
  <si>
    <t>Финишная планка</t>
  </si>
  <si>
    <r>
      <t>J-фаска</t>
    </r>
    <r>
      <rPr>
        <sz val="10"/>
        <rFont val="Arial Cyr"/>
        <charset val="204"/>
      </rPr>
      <t xml:space="preserve"> (ветровая доска)</t>
    </r>
  </si>
  <si>
    <t>В виниловых софитах T - это количество переломов (Triple - 3 штуки), цифры - ширина одного перелома в дюймах (дюйм = 2,54 см)</t>
  </si>
  <si>
    <t>Сопутствующие товары</t>
  </si>
  <si>
    <t>Цена, руб/ед.</t>
  </si>
  <si>
    <r>
      <rPr>
        <b/>
        <sz val="10"/>
        <rFont val="Arial Cyr"/>
        <charset val="204"/>
      </rPr>
      <t>DRIPSTOP</t>
    </r>
    <r>
      <rPr>
        <sz val="10"/>
        <rFont val="Arial Cyr"/>
        <charset val="204"/>
      </rPr>
      <t xml:space="preserve"> (антиконденсатное покрытие для пн, пл) (на заказы менее 50 кв.м. DRIPSTOP не наносится!) Коэфф. расчета Dripsrop на кв.м. С20 - 1,043, НС35 - 1,132</t>
    </r>
  </si>
  <si>
    <t>Пистолет для герметика усиленный No-drop</t>
  </si>
  <si>
    <r>
      <rPr>
        <b/>
        <sz val="10"/>
        <rFont val="Arial Cyr"/>
        <charset val="204"/>
      </rPr>
      <t>Корректор</t>
    </r>
    <r>
      <rPr>
        <sz val="10"/>
        <rFont val="Arial Cyr"/>
        <charset val="204"/>
      </rPr>
      <t xml:space="preserve"> для ремонта царапин (12 мл.) цвета в ассортименте по RAL</t>
    </r>
  </si>
  <si>
    <r>
      <rPr>
        <b/>
        <sz val="10"/>
        <rFont val="Arial Cyr"/>
        <charset val="204"/>
      </rPr>
      <t>NICOBAND самоклеящаяся герметизирующая лента</t>
    </r>
    <r>
      <rPr>
        <sz val="10"/>
        <rFont val="Arial Cyr"/>
        <charset val="204"/>
      </rPr>
      <t xml:space="preserve"> (10смх10м) цвета в ассортименте</t>
    </r>
  </si>
  <si>
    <r>
      <rPr>
        <b/>
        <sz val="10"/>
        <rFont val="Arial Cyr"/>
        <charset val="204"/>
      </rPr>
      <t>Аэроэлемент конька Grand Line</t>
    </r>
    <r>
      <rPr>
        <sz val="10"/>
        <rFont val="Arial Cyr"/>
        <charset val="204"/>
      </rPr>
      <t xml:space="preserve"> (5м) (черный, коричневый)</t>
    </r>
  </si>
  <si>
    <r>
      <rPr>
        <b/>
        <sz val="10"/>
        <rFont val="Arial Cyr"/>
        <charset val="204"/>
      </rPr>
      <t>Снегозадержатель универсальный  Grand Line</t>
    </r>
    <r>
      <rPr>
        <sz val="10"/>
        <rFont val="Arial Cyr"/>
        <charset val="204"/>
      </rPr>
      <t xml:space="preserve"> 1 м/3 м</t>
    </r>
  </si>
  <si>
    <r>
      <rPr>
        <b/>
        <sz val="10"/>
        <rFont val="Arial Cyr"/>
        <charset val="204"/>
      </rPr>
      <t xml:space="preserve">PELTI </t>
    </r>
    <r>
      <rPr>
        <sz val="10"/>
        <rFont val="Arial Cyr"/>
        <charset val="204"/>
      </rPr>
      <t xml:space="preserve">- проходной элемент Vilpe (универсальный) для металлочерепицы и низкого профнастила (до 38го профиля) </t>
    </r>
  </si>
  <si>
    <r>
      <rPr>
        <b/>
        <sz val="10"/>
        <rFont val="Arial Cyr"/>
        <charset val="204"/>
      </rPr>
      <t>Уплотнитель</t>
    </r>
    <r>
      <rPr>
        <sz val="10"/>
        <rFont val="Arial Cyr"/>
        <charset val="204"/>
      </rPr>
      <t xml:space="preserve"> универсальный с клеевым слоем 30х40 (2м)</t>
    </r>
  </si>
  <si>
    <r>
      <rPr>
        <b/>
        <sz val="10"/>
        <rFont val="Arial Cyr"/>
        <charset val="204"/>
      </rPr>
      <t>Мембрана</t>
    </r>
    <r>
      <rPr>
        <sz val="10"/>
        <rFont val="Arial Cyr"/>
        <charset val="204"/>
      </rPr>
      <t xml:space="preserve"> Folder Comfort (75 м2)</t>
    </r>
  </si>
  <si>
    <r>
      <rPr>
        <b/>
        <sz val="10"/>
        <rFont val="Arial Cyr"/>
        <charset val="204"/>
      </rPr>
      <t xml:space="preserve">Лента вентиляционная Grand Line </t>
    </r>
    <r>
      <rPr>
        <sz val="10"/>
        <rFont val="Arial Cyr"/>
        <charset val="204"/>
      </rPr>
      <t>для карниза (коричн./черн./беж.) 100х5000</t>
    </r>
  </si>
  <si>
    <r>
      <rPr>
        <b/>
        <sz val="10"/>
        <rFont val="Arial Cyr"/>
        <charset val="204"/>
      </rPr>
      <t xml:space="preserve">Пленка </t>
    </r>
    <r>
      <rPr>
        <sz val="10"/>
        <rFont val="Arial Cyr"/>
        <charset val="204"/>
      </rPr>
      <t>Folder пароизоляция Silver Н98 (75 м2)</t>
    </r>
  </si>
  <si>
    <r>
      <rPr>
        <b/>
        <sz val="10"/>
        <rFont val="Arial Cyr"/>
        <charset val="204"/>
      </rPr>
      <t>Лента для примыкания Grand Line</t>
    </r>
    <r>
      <rPr>
        <sz val="10"/>
        <rFont val="Arial Cyr"/>
        <charset val="204"/>
      </rPr>
      <t xml:space="preserve"> гофр. алюм. (0,3x5 м) (кирпичн., кор., черн., темн.-красн.)</t>
    </r>
  </si>
  <si>
    <r>
      <rPr>
        <b/>
        <sz val="10"/>
        <rFont val="Arial Cyr"/>
        <charset val="204"/>
      </rPr>
      <t>Двусторонняя клейкая лента</t>
    </r>
    <r>
      <rPr>
        <sz val="10"/>
        <rFont val="Arial Cyr"/>
        <charset val="204"/>
      </rPr>
      <t xml:space="preserve"> Изоспан KL (нетканая основа) (0,015*50 м)</t>
    </r>
  </si>
  <si>
    <t>Насадка-ножницы Стальной Бобер для резки металла</t>
  </si>
  <si>
    <t xml:space="preserve">Дымник 0,5х0,5 м в покрытии PE 0,45 </t>
  </si>
  <si>
    <r>
      <rPr>
        <b/>
        <sz val="10"/>
        <rFont val="Arial Cyr"/>
        <charset val="204"/>
      </rPr>
      <t>Саморез кровельный</t>
    </r>
    <r>
      <rPr>
        <sz val="10"/>
        <rFont val="Arial Cyr"/>
        <charset val="204"/>
      </rPr>
      <t xml:space="preserve"> 4,8*29 (250 шт/уп) Zn, Ral</t>
    </r>
  </si>
  <si>
    <t>Дымник 0,5х0,5 м в покрытии Satin</t>
  </si>
  <si>
    <t>Дымник 0,5х0,5 м в покрытии Velur</t>
  </si>
  <si>
    <r>
      <rPr>
        <b/>
        <sz val="10"/>
        <rFont val="Arial Cyr"/>
        <charset val="204"/>
      </rPr>
      <t>Магнитная насадка</t>
    </r>
    <r>
      <rPr>
        <sz val="10"/>
        <rFont val="Arial Cyr"/>
        <charset val="204"/>
      </rPr>
      <t xml:space="preserve"> 8х45 / 8х48 для саморезов</t>
    </r>
  </si>
  <si>
    <t>Дымник 0,5х0,5 м в покрытии Quarzit Lite</t>
  </si>
  <si>
    <t>Наценки на фальц:</t>
  </si>
  <si>
    <t>Наценка при заказе металлочерепицы и профнастила 
(+штрипсы, отмотки и плоского листа пр-ва Обн.,Врн., СПБ):</t>
  </si>
  <si>
    <t xml:space="preserve">за заказ менее  7 кв.м. </t>
  </si>
  <si>
    <t>Все виды МЧ во всех покрытиях изготавливаются без пленки. Стоимость металлочерепицы рассчитывается по общей ширине листа.</t>
  </si>
  <si>
    <t xml:space="preserve">за заказ от 7  до 24,99 кв.м. </t>
  </si>
  <si>
    <t>наценка 100%</t>
  </si>
  <si>
    <t>за заказ менее 5 кв.м.</t>
  </si>
  <si>
    <t>наценка 70%</t>
  </si>
  <si>
    <t>за заказ от 25 до 49,99 кв.м.</t>
  </si>
  <si>
    <t>наценка 20%</t>
  </si>
  <si>
    <t>за заказ от 5 до 9,99 кв.м.</t>
  </si>
  <si>
    <t>наценка 30%</t>
  </si>
  <si>
    <t>за заказ от 50 до 100 кв.м.</t>
  </si>
  <si>
    <t>наценка 10%</t>
  </si>
  <si>
    <t>за заказ от 10 до 25 кв.м.</t>
  </si>
  <si>
    <t>наценка 15%</t>
  </si>
  <si>
    <t>за заказ до 100 кв.м.</t>
  </si>
  <si>
    <t>за заказ менее 25 кв.м.</t>
  </si>
  <si>
    <t>Наценка на продукцию в покрытии Pe 0,45 в цвете RAL 2004</t>
  </si>
  <si>
    <t>Остатки при нарезке штрипса выставляются в счет.</t>
  </si>
  <si>
    <t>Услуги расчета материала (деньги возвращаются при размещении заказа):</t>
  </si>
  <si>
    <t>Внимание! Фальц двойной стоячий и клик-фальц производства СПб в регионы (Обн., Врн., НН) не отгружаются.</t>
  </si>
  <si>
    <t>PURAL, PURAL МАTТ</t>
  </si>
  <si>
    <t>Polydexter Matt</t>
  </si>
  <si>
    <t>1.2. Кровельные материалы и комплектующие</t>
  </si>
  <si>
    <t>Ед. изм.</t>
  </si>
  <si>
    <t>Ширина заготовки, мм</t>
  </si>
  <si>
    <t>Цена, руб.</t>
  </si>
  <si>
    <t xml:space="preserve">Polydexter </t>
  </si>
  <si>
    <t>Colority  Print</t>
  </si>
  <si>
    <t>0,65-0,7</t>
  </si>
  <si>
    <t>кв.м</t>
  </si>
  <si>
    <t>Доборные элементы для кровельных систем</t>
  </si>
  <si>
    <t>Конек полукруглый 1,97 м</t>
  </si>
  <si>
    <t>п.м.</t>
  </si>
  <si>
    <t>Конек полукруглый малый 1,97 м</t>
  </si>
  <si>
    <t>Конек плоский 2м/3м</t>
  </si>
  <si>
    <t>115*30*115</t>
  </si>
  <si>
    <t>145*145</t>
  </si>
  <si>
    <t>150*40*150</t>
  </si>
  <si>
    <t>190*190</t>
  </si>
  <si>
    <t>Планка конька односкатной кровли 160х160 2м/3м</t>
  </si>
  <si>
    <t>Заглушка к полукруг.коньку торцевая</t>
  </si>
  <si>
    <t>шт.</t>
  </si>
  <si>
    <t>Заглушка к полукруг.коньку конусная</t>
  </si>
  <si>
    <t>Заглушка к полукруг.коньку малому торцевая</t>
  </si>
  <si>
    <t>Заглушка к полукруг.коньку малому конусная</t>
  </si>
  <si>
    <t>Тройник Y - образный для полукруглого конька</t>
  </si>
  <si>
    <t>Тройник Y - образный для полукруглого конька малого</t>
  </si>
  <si>
    <t>Планка примыкания 2м/3м</t>
  </si>
  <si>
    <t>90*140</t>
  </si>
  <si>
    <t>150*250</t>
  </si>
  <si>
    <t>нижняя 122*260</t>
  </si>
  <si>
    <t>внакладку 25х17х35х17</t>
  </si>
  <si>
    <t>в штробу 60</t>
  </si>
  <si>
    <t>Ендова верхняя 2м/3м</t>
  </si>
  <si>
    <t>Ендова нижняя  2м/3м</t>
  </si>
  <si>
    <t>300*300</t>
  </si>
  <si>
    <t>Планка торцевая 80*100 2м/3м</t>
  </si>
  <si>
    <t>Планка торцевая 142*100 2м/3м</t>
  </si>
  <si>
    <t>Планка карнизная 100*65 2м/3м</t>
  </si>
  <si>
    <t>Планка карнизная широкая 100*85 2м/3м</t>
  </si>
  <si>
    <t>Планка капельник 100*55 2м/3м</t>
  </si>
  <si>
    <t>Планка лобовая/околооконная простая 190х50 2м/3м</t>
  </si>
  <si>
    <t>Планка снегозадержания 2м/3м</t>
  </si>
  <si>
    <t>Планка снегозадержания усиливающая 2м/3м</t>
  </si>
  <si>
    <t>Планка мансардная 2м/3м</t>
  </si>
  <si>
    <t>Доборные элементы для металлических софитов</t>
  </si>
  <si>
    <t>Планка финишная 46х25 2м/3 м</t>
  </si>
  <si>
    <t>Нестандартные доборные элементы</t>
  </si>
  <si>
    <t>Ширина развертки, мм</t>
  </si>
  <si>
    <t>Print</t>
  </si>
  <si>
    <t>Quarzit</t>
  </si>
  <si>
    <t>Print dp</t>
  </si>
  <si>
    <t xml:space="preserve"> PE 0,7</t>
  </si>
  <si>
    <t xml:space="preserve"> PE 0,45</t>
  </si>
  <si>
    <r>
      <rPr>
        <b/>
        <sz val="10"/>
        <rFont val="Arial Cyr"/>
        <charset val="204"/>
      </rPr>
      <t>Нестандартный доборный элемент</t>
    </r>
    <r>
      <rPr>
        <sz val="10"/>
        <rFont val="Arial Cyr"/>
        <charset val="204"/>
      </rPr>
      <t xml:space="preserve"> (укажите ширину развертки элемента в мм в зеленом поле)</t>
    </r>
  </si>
  <si>
    <t>Дымники на заказ</t>
  </si>
  <si>
    <t>Ширина, мм</t>
  </si>
  <si>
    <t>Grand Line</t>
  </si>
  <si>
    <t>Цинк 0,45</t>
  </si>
  <si>
    <t xml:space="preserve"> PE 0,35*</t>
  </si>
  <si>
    <t>Цинк 0,35</t>
  </si>
  <si>
    <t>Дымник на трубу</t>
  </si>
  <si>
    <t>Дымник на трубу с сеткой</t>
  </si>
  <si>
    <t>Дымник на трубу двойной</t>
  </si>
  <si>
    <t xml:space="preserve">Размеры дымника (ширина и длина) указываются кратно 5 мм (0,5 см). Значения размеров указывать в ячейках, закрашенных зеленым цветом. Возможность изготовления издений свыше 2,5х1,5м уточняйте у менеджера. </t>
  </si>
  <si>
    <t xml:space="preserve">Возможно изготовление двойных дымников, дымников с жалюзи, сеткой и по чертежам заказчика. Срок изготовдения и стоимость изделий уточняйте у менеджера по продажам. </t>
  </si>
  <si>
    <t>При указании размеров дыника просьба учитывать: неровности кладки, ассиметрию трубы или столба. Для предотвращения сложностей установки дымника производитель может незначительно увеличить заявленные размеры периметра изделия.</t>
  </si>
  <si>
    <t>Внимание! Дымники не предназначены для установки и эксплуатации в условиях, если воздушные потоки будут достигать скорости 15 и более метров в секунду.</t>
  </si>
  <si>
    <t>Руб/кв.м.</t>
  </si>
  <si>
    <r>
      <rPr>
        <b/>
        <sz val="10"/>
        <rFont val="Arial Cyr"/>
        <charset val="204"/>
      </rPr>
      <t>DRIPSTOP</t>
    </r>
    <r>
      <rPr>
        <sz val="10"/>
        <rFont val="Arial Cyr"/>
        <charset val="204"/>
      </rPr>
      <t xml:space="preserve"> (антиконденсатное покрытие для пл) (на заказы менее 50 кв.м. DRIPSTOP не наносится!) Коэфф. расчета DRIPSTOP на кв.м. пл.листа - 1</t>
    </r>
  </si>
  <si>
    <t>Саморезы металл-дерево</t>
  </si>
  <si>
    <t>Руб/шт</t>
  </si>
  <si>
    <t>Уплотнители</t>
  </si>
  <si>
    <t>Руб/п.м</t>
  </si>
  <si>
    <t>Руб/шт.</t>
  </si>
  <si>
    <t>Самороез кровельный  4,8*29 Zn, Ral (250шт/упак)</t>
  </si>
  <si>
    <r>
      <rPr>
        <b/>
        <sz val="10"/>
        <color indexed="8"/>
        <rFont val="Arial Cyr"/>
        <charset val="204"/>
      </rPr>
      <t>Уплотнитель</t>
    </r>
    <r>
      <rPr>
        <sz val="10"/>
        <color indexed="8"/>
        <rFont val="Arial Cyr"/>
        <charset val="204"/>
      </rPr>
      <t xml:space="preserve"> универсальный 30х40 (2м)</t>
    </r>
  </si>
  <si>
    <t>Самороез кровельный  4,8*35 Zn, Ral (250шт/упак)</t>
  </si>
  <si>
    <r>
      <rPr>
        <b/>
        <sz val="10"/>
        <rFont val="Arial Cyr"/>
        <charset val="204"/>
      </rPr>
      <t>Уплотнитель</t>
    </r>
    <r>
      <rPr>
        <sz val="10"/>
        <rFont val="Arial Cyr"/>
        <charset val="204"/>
      </rPr>
      <t xml:space="preserve"> универсальный 30х50 (2м)</t>
    </r>
  </si>
  <si>
    <t>Краска</t>
  </si>
  <si>
    <t>Самороез кровельный  4,8*50 Zn, Ral (под заказ)  (150шт/упак)</t>
  </si>
  <si>
    <r>
      <rPr>
        <b/>
        <sz val="10"/>
        <rFont val="Arial Cyr"/>
        <charset val="204"/>
      </rPr>
      <t>Корректор</t>
    </r>
    <r>
      <rPr>
        <sz val="10"/>
        <rFont val="Arial Cyr"/>
        <charset val="204"/>
      </rPr>
      <t xml:space="preserve"> для ремонта царапин (12 мл.) цвета по RAL</t>
    </r>
  </si>
  <si>
    <t>Самороез кровельный  4,8*70 Zn, Ral (100шт/упак)</t>
  </si>
  <si>
    <r>
      <rPr>
        <b/>
        <sz val="10"/>
        <color indexed="8"/>
        <rFont val="Arial Cyr"/>
        <charset val="204"/>
      </rPr>
      <t xml:space="preserve">Уплотнитель </t>
    </r>
    <r>
      <rPr>
        <sz val="10"/>
        <color indexed="8"/>
        <rFont val="Arial Cyr"/>
        <charset val="204"/>
      </rPr>
      <t>универсальный с клеевым слоем 30х40 (2м)</t>
    </r>
  </si>
  <si>
    <r>
      <rPr>
        <b/>
        <sz val="10"/>
        <rFont val="Arial Cyr"/>
        <charset val="204"/>
      </rPr>
      <t>Краска</t>
    </r>
    <r>
      <rPr>
        <sz val="10"/>
        <rFont val="Arial Cyr"/>
        <charset val="204"/>
      </rPr>
      <t xml:space="preserve"> аэрозоль (400 мл) цвета по RAL</t>
    </r>
  </si>
  <si>
    <t>Магнитная насадка 8х45 / 8х48 для саморезов</t>
  </si>
  <si>
    <r>
      <rPr>
        <b/>
        <sz val="10"/>
        <rFont val="Arial Cyr"/>
        <charset val="204"/>
      </rPr>
      <t xml:space="preserve">Уплотнитель </t>
    </r>
    <r>
      <rPr>
        <sz val="10"/>
        <rFont val="Arial Cyr"/>
        <charset val="204"/>
      </rPr>
      <t>универсальный с клеевым слоем 30х50 (2м)</t>
    </r>
  </si>
  <si>
    <r>
      <rPr>
        <b/>
        <sz val="10"/>
        <color indexed="8"/>
        <rFont val="Arial Cyr"/>
        <charset val="204"/>
      </rPr>
      <t>Уплотнитель</t>
    </r>
    <r>
      <rPr>
        <sz val="10"/>
        <color indexed="8"/>
        <rFont val="Arial Cyr"/>
        <charset val="204"/>
      </rPr>
      <t xml:space="preserve"> клиновидный 30х50 (1м)</t>
    </r>
  </si>
  <si>
    <r>
      <rPr>
        <b/>
        <sz val="10"/>
        <rFont val="Arial Cyr"/>
        <charset val="204"/>
      </rPr>
      <t xml:space="preserve">Уплотнитель </t>
    </r>
    <r>
      <rPr>
        <sz val="10"/>
        <rFont val="Arial Cyr"/>
        <charset val="204"/>
      </rPr>
      <t>профильный для пн С20 (1,1м)</t>
    </r>
  </si>
  <si>
    <r>
      <rPr>
        <b/>
        <sz val="10"/>
        <color indexed="8"/>
        <rFont val="Arial Cyr"/>
        <charset val="204"/>
      </rPr>
      <t>Уплотнитель</t>
    </r>
    <r>
      <rPr>
        <sz val="10"/>
        <color indexed="8"/>
        <rFont val="Arial Cyr"/>
        <charset val="204"/>
      </rPr>
      <t xml:space="preserve"> профильный для пн С21 (1м)</t>
    </r>
  </si>
  <si>
    <t>Cтоимость доставки отмотки/штрипса из Обнинска в НН на поддоне Р 1300 руб/шт</t>
  </si>
  <si>
    <r>
      <rPr>
        <b/>
        <sz val="10"/>
        <rFont val="Arial Cyr"/>
        <charset val="204"/>
      </rPr>
      <t>Уплотнитель</t>
    </r>
    <r>
      <rPr>
        <sz val="10"/>
        <rFont val="Arial Cyr"/>
        <charset val="204"/>
      </rPr>
      <t xml:space="preserve"> профильный для пн НС35 (1м)</t>
    </r>
  </si>
  <si>
    <t>Доборные элементы для продукции в Полиэстере группы Optima изготавливаются в покрытии Satin.</t>
  </si>
  <si>
    <r>
      <rPr>
        <b/>
        <sz val="10"/>
        <color indexed="8"/>
        <rFont val="Arial Cyr"/>
        <charset val="204"/>
      </rPr>
      <t>Уплотнитель</t>
    </r>
    <r>
      <rPr>
        <sz val="10"/>
        <color indexed="8"/>
        <rFont val="Arial Cyr"/>
        <charset val="204"/>
      </rPr>
      <t xml:space="preserve"> профильный для пн Н60 (0,85м)</t>
    </r>
  </si>
  <si>
    <r>
      <rPr>
        <b/>
        <sz val="10"/>
        <rFont val="Arial Cyr"/>
        <charset val="204"/>
      </rPr>
      <t xml:space="preserve">Уплотнитель </t>
    </r>
    <r>
      <rPr>
        <sz val="10"/>
        <rFont val="Arial Cyr"/>
        <charset val="204"/>
      </rPr>
      <t>под мч "Classic/Modern"(1м)</t>
    </r>
  </si>
  <si>
    <r>
      <rPr>
        <b/>
        <sz val="10"/>
        <rFont val="Arial Cyr"/>
        <charset val="204"/>
      </rPr>
      <t>Уплотнитель</t>
    </r>
    <r>
      <rPr>
        <sz val="10"/>
        <rFont val="Arial Cyr"/>
        <charset val="204"/>
      </rPr>
      <t xml:space="preserve"> профильный для пн Н75 (0,75м)</t>
    </r>
  </si>
  <si>
    <r>
      <rPr>
        <b/>
        <sz val="10"/>
        <rFont val="Arial Cyr"/>
        <charset val="204"/>
      </rPr>
      <t>Уплотнитель</t>
    </r>
    <r>
      <rPr>
        <sz val="10"/>
        <rFont val="Arial Cyr"/>
        <charset val="204"/>
      </rPr>
      <t xml:space="preserve"> под мч "Кредо" (1,125м)</t>
    </r>
  </si>
  <si>
    <t>Цена, руб/уп.</t>
  </si>
  <si>
    <t>Утеплитель Технониколь Технолайт Экстра 1200*600*50 мм (0,288 м3)</t>
  </si>
  <si>
    <t>Утеплитель Технониколь Технолайт Экстра 1200*600*100 мм (0,432 м3)</t>
  </si>
  <si>
    <t>Таблица соответствия цветов обратки цветным покрытиям</t>
  </si>
  <si>
    <t>Таблица рекомендуемых цветов саморезов</t>
  </si>
  <si>
    <t>Палитра цветов покрытий Print, Safari, Velur 20</t>
  </si>
  <si>
    <t xml:space="preserve">Цвет обратки цветов покрытий </t>
  </si>
  <si>
    <t>Палитра цветов покрытий</t>
  </si>
  <si>
    <t>Цвет обратки</t>
  </si>
  <si>
    <t>Палитра цветов покрытий Print, Safari, Velur</t>
  </si>
  <si>
    <t>Палитра цветов покрытий Print,Safari,Velur</t>
  </si>
  <si>
    <t>Cuprum steel - Медь</t>
  </si>
  <si>
    <t>бежево-коричневая</t>
  </si>
  <si>
    <t>Safari Orange - Сафари Оранжевый</t>
  </si>
  <si>
    <t>терракота</t>
  </si>
  <si>
    <t>8004, 8017</t>
  </si>
  <si>
    <t>Sand Stone - Камень песчаник</t>
  </si>
  <si>
    <t>8017, 8019</t>
  </si>
  <si>
    <t>Antique Dub - Античный дуб</t>
  </si>
  <si>
    <t>светло-коричневая</t>
  </si>
  <si>
    <t>Safari Brown - Сафари Браун</t>
  </si>
  <si>
    <t>темно-коричневый</t>
  </si>
  <si>
    <t>Fine Stone - Камень</t>
  </si>
  <si>
    <t>7005, 7024</t>
  </si>
  <si>
    <t>White Dub - Беленый дуб</t>
  </si>
  <si>
    <t>серо-бежевая</t>
  </si>
  <si>
    <t>охра</t>
  </si>
  <si>
    <t>Golden Dub - Золотой дуб</t>
  </si>
  <si>
    <t>коричневая охра</t>
  </si>
  <si>
    <t>серая</t>
  </si>
  <si>
    <t>Cherry Wood - Бразильская вишня</t>
  </si>
  <si>
    <t>сигнально-коричневая</t>
  </si>
  <si>
    <t>3009, 8017</t>
  </si>
  <si>
    <t>Rowan - Рябина</t>
  </si>
  <si>
    <t>Corten - Кортен-сталь</t>
  </si>
  <si>
    <t>Nutwood - Орех</t>
  </si>
  <si>
    <t>Доборные элементы</t>
  </si>
  <si>
    <t>Все цвета</t>
  </si>
  <si>
    <t>Пплоский лист, штрипс и отмотка</t>
  </si>
  <si>
    <t>1250 / &lt;=1250</t>
  </si>
  <si>
    <t>Доборные элементы для Фальцевой кровли GL</t>
  </si>
  <si>
    <t>Длина планки</t>
  </si>
  <si>
    <t>Цена руб./п.м.</t>
  </si>
  <si>
    <t>0,3/0,5 м</t>
  </si>
  <si>
    <t>Планка примыкание верхнее к стене фальц 150*130*20 мм</t>
  </si>
  <si>
    <t>2м/3м</t>
  </si>
  <si>
    <t>Планка карнизная фальц 130х80</t>
  </si>
  <si>
    <t xml:space="preserve">Планка крепежная фальц </t>
  </si>
  <si>
    <t>2м/3 м</t>
  </si>
  <si>
    <t xml:space="preserve">Планка примыкание боковое фальц </t>
  </si>
  <si>
    <t xml:space="preserve">Планка торцевая фальц 60х97  </t>
  </si>
  <si>
    <t>Для расчета стоимости п.м. нестандартного доборного элемента в зеленом поле укажите ширину развертки элемента в мм.</t>
  </si>
  <si>
    <r>
      <rPr>
        <b/>
        <sz val="10"/>
        <rFont val="Arial Cyr"/>
        <charset val="204"/>
      </rPr>
      <t xml:space="preserve">Нестандартный доборный элемент </t>
    </r>
    <r>
      <rPr>
        <sz val="10"/>
        <rFont val="Arial Cyr"/>
        <charset val="204"/>
      </rPr>
      <t>(укажите ширину развертки элемента в мм в зеленом поле)</t>
    </r>
  </si>
  <si>
    <t>Цена, руб/шт</t>
  </si>
  <si>
    <t>Ковер подкладочный Fel*Х (40м2, плотность 500 г/м²)</t>
  </si>
  <si>
    <t>CLASSIC - проходной элемент Vilpe для фальцевой металлической кровли и мягкой кровли. Устанавливается на смонтированный кровельный материал (герметик в комплект не входит)</t>
  </si>
  <si>
    <t>DRIPSTOP (антиконденсатное покрытие для пн, пл) (на заказы менее 50 кв.м. DRIPSTOP не наносится!) Коэфф. расчета DRIPSTOP на кв.м. пл.листа - 1,000</t>
  </si>
  <si>
    <t>Кровельный герметик Grand Line Professional бесцветный (310 мл) каучуковый</t>
  </si>
  <si>
    <t>Кляммер кровельный неподвижный нерж. 25мм</t>
  </si>
  <si>
    <t>Комплект Рамок (инструментов) для двойного стоячего фальца</t>
  </si>
  <si>
    <t>Кляммер кровельный скользящий нерж. 25мм</t>
  </si>
  <si>
    <t>Рамка для Г-образного фальца RAU</t>
  </si>
  <si>
    <t>Рамка для двойного фальца RAU</t>
  </si>
  <si>
    <t>Корректор для ремонта царапин (12 мл.) цвета в ассортименте по RAL</t>
  </si>
  <si>
    <t>Рамка для подгиба карнизного свеса Stubai</t>
  </si>
  <si>
    <t>Рамка для дозагиба карнизного свеса Stubai</t>
  </si>
  <si>
    <t xml:space="preserve">Снегозадержатель для фальцевой кровли  Grand Line 1 м </t>
  </si>
  <si>
    <t>Комплект инструментов для кликфальца №1</t>
  </si>
  <si>
    <t>Снегозадержатель для фальцевой кровли  Grand Line 3 м</t>
  </si>
  <si>
    <t>Ножницы "Пеликаны" Stubai</t>
  </si>
  <si>
    <t>Саморез  (металл - дерево)</t>
  </si>
  <si>
    <t>Ножницы подрезные/проходные левые EDMA</t>
  </si>
  <si>
    <t>Cаморез универсальный острая 3,5х20, Цинк (1000шт/упак) (для кляммеров фальца)</t>
  </si>
  <si>
    <t>Ножницы подрезные/проходные правые EDMA</t>
  </si>
  <si>
    <t>Клещи большие прямые скошенные 180мм сквозное соед. Stubai</t>
  </si>
  <si>
    <t>Саморез  ПШ (Общая толщина просверливаемого металла - 0,9 мм)</t>
  </si>
  <si>
    <t>Инструмент для подгиба карнизного свеса Malco</t>
  </si>
  <si>
    <t>Саморезы с прессшайбой острые 4,2х16 Ral (1000шт/упак)</t>
  </si>
  <si>
    <t>Клещи 45 град 60мм накладное соед. Stubai</t>
  </si>
  <si>
    <t>Саморезы с прессшайбой острые 4,2х19 Ral (1000шт/упак)</t>
  </si>
  <si>
    <t>Киянка усеченная EDMA</t>
  </si>
  <si>
    <t>Саморезы с прессшайбой острые 4,2х25 Ral (500шт/упак)</t>
  </si>
  <si>
    <t>Саморезы с прессшайбой острые 4,2х16 Цинк (1000шт/упак)</t>
  </si>
  <si>
    <t>Саморезы с прессшайбой острые 4,2х19 Цинк (800шт/упак)</t>
  </si>
  <si>
    <t>Наценка при заказе штрипсы, отмотки и плоского листа 
пр-ва Обн.,Врн., СПБ:</t>
  </si>
  <si>
    <t>Саморезы с прессшайбой острые 4,2х25 Цинк (800шт/упак)</t>
  </si>
  <si>
    <t>Складские цвета саморезов ПШ: 3005,5005,6005,8017,9003 по каталогу RAL, а также в Цинке. Прочие цвета под заказ.</t>
  </si>
  <si>
    <t>1.4. Мягкая черепица SHINGLAS</t>
  </si>
  <si>
    <t xml:space="preserve">цены действительны с </t>
  </si>
  <si>
    <t>Мягкая черепица SHINGLAS</t>
  </si>
  <si>
    <t>Комплектующие к мягкой черепице SHINGLAS</t>
  </si>
  <si>
    <t xml:space="preserve">Наименование </t>
  </si>
  <si>
    <t>Толщина гонта, мм</t>
  </si>
  <si>
    <t>Гарантия, лет</t>
  </si>
  <si>
    <t>Кол-во кв.м./уп.</t>
  </si>
  <si>
    <t>Руб/уп.</t>
  </si>
  <si>
    <t>Упаковка</t>
  </si>
  <si>
    <t>руб./м2</t>
  </si>
  <si>
    <t>руб./уп.</t>
  </si>
  <si>
    <t>красный, зеленый, серый, коричневый</t>
  </si>
  <si>
    <t>2,9 (+/- 0,2)</t>
  </si>
  <si>
    <t>3 м²</t>
  </si>
  <si>
    <t>Конек/Карниз для коллекций Финская, Ранчо</t>
  </si>
  <si>
    <t>упаковка, 3 м²=7,2 п/м конька = 12 п/м карниза</t>
  </si>
  <si>
    <t>упак.</t>
  </si>
  <si>
    <t>упаковка, 5 м²=12 п/м конька = 20 п/м карниза</t>
  </si>
  <si>
    <t>красный, серый, коричневый, бронзовый</t>
  </si>
  <si>
    <t>5,4 (+/-0,2)</t>
  </si>
  <si>
    <t>2 м²</t>
  </si>
  <si>
    <t>Ендовный ковер</t>
  </si>
  <si>
    <t>Подкладочные ковры</t>
  </si>
  <si>
    <t>КАНТРИ (драконий зуб)</t>
  </si>
  <si>
    <t>Алабама, Аризона, Атланта, Мичиган, Огайо, Онтарио, Техас, Юта, Индиана</t>
  </si>
  <si>
    <t>2,6 м²</t>
  </si>
  <si>
    <t>Ковер подкладочный самоклеющийся ANDEREP ULTRA</t>
  </si>
  <si>
    <t>м2</t>
  </si>
  <si>
    <t>Подкладочный ковер ANDEREP PROF</t>
  </si>
  <si>
    <t>черный</t>
  </si>
  <si>
    <r>
      <t xml:space="preserve">SHINGLAS КЛАССИК </t>
    </r>
    <r>
      <rPr>
        <sz val="10"/>
        <rFont val="Arial Cyr"/>
        <charset val="204"/>
      </rPr>
      <t>(однослойная, окисленный битум)</t>
    </r>
  </si>
  <si>
    <t>МОДЕРН (modern брикс)</t>
  </si>
  <si>
    <t>3,0 (+/-0,2)</t>
  </si>
  <si>
    <t>Подкладочный ковер ANDEREP GL</t>
  </si>
  <si>
    <t>КАДРИЛЬ (sonata)</t>
  </si>
  <si>
    <t>Подкладочный ковер под Гибкую черепицу ХММ</t>
  </si>
  <si>
    <t>РУМБА (Кадриль accord)</t>
  </si>
  <si>
    <t>ФЛАМЕНКО (trio)</t>
  </si>
  <si>
    <t>Арагон, Гранада, Толедо, Валенсия, Коричневый, Антик</t>
  </si>
  <si>
    <t>Коньковый аэратор ТехноНИКОЛЬ</t>
  </si>
  <si>
    <t>0,61 х 0,29 м</t>
  </si>
  <si>
    <t>шт</t>
  </si>
  <si>
    <t>ТАНГО (tango 
бобровый хвост)</t>
  </si>
  <si>
    <t>Коньковый аэратор Vilpe AIRIDGE FELT</t>
  </si>
  <si>
    <t>L=0,59м</t>
  </si>
  <si>
    <t>Vilpe HUOPA - KTV - кровельный вентиль для мягкой черепицы</t>
  </si>
  <si>
    <t>устанавливается при монтаже кровли</t>
  </si>
  <si>
    <t>черный, коричневый, зеленый, серый, красный</t>
  </si>
  <si>
    <r>
      <t xml:space="preserve">SHINGLAS УЛЬТРА </t>
    </r>
    <r>
      <rPr>
        <sz val="10"/>
        <rFont val="Arial Cyr"/>
        <charset val="204"/>
      </rPr>
      <t>(однослойная, битум с полимерными добавками)</t>
    </r>
  </si>
  <si>
    <t>кирпичный, синий</t>
  </si>
  <si>
    <t>САМБА (sonata)</t>
  </si>
  <si>
    <t>Рубин, Малахит, Янтарь</t>
  </si>
  <si>
    <t>3,0 (+/- 0,2)</t>
  </si>
  <si>
    <t>Krovent KTV - кровельный вентиль для мягкой черепицы</t>
  </si>
  <si>
    <t>красный, зеленый, кирпичный, коричневый, серый, черный</t>
  </si>
  <si>
    <t>ФОКСТРОТ (accord)</t>
  </si>
  <si>
    <t>Лента вентиляционная ПВХ для карниза</t>
  </si>
  <si>
    <t>5 п.м. (100х5000 мм)</t>
  </si>
  <si>
    <t>коричневый, белый, черный</t>
  </si>
  <si>
    <t>ДЖАЗ (драконий зуб)</t>
  </si>
  <si>
    <t>Аликанте, Барселона, Индиго, Кастилия, Коррида, Севилья, Терра, Тоскана, Сицилия</t>
  </si>
  <si>
    <t>6,0 (+/-0,2)</t>
  </si>
  <si>
    <t>Проходной элемент Vilpe HUOPA/SLATE</t>
  </si>
  <si>
    <t>для труб Ø 110-160 мм</t>
  </si>
  <si>
    <t>синий, светло-серый</t>
  </si>
  <si>
    <t>ВЕСТЕРН</t>
  </si>
  <si>
    <t>1,5 м²</t>
  </si>
  <si>
    <t>кирпичный</t>
  </si>
  <si>
    <t>Снегозадержание</t>
  </si>
  <si>
    <t>КОНТИНЕНТ</t>
  </si>
  <si>
    <t>Азия, Америка, Африка, Европа</t>
  </si>
  <si>
    <t>9,0 (+/-0,2)</t>
  </si>
  <si>
    <t>Снегозадержатель под гибкую черепицу</t>
  </si>
  <si>
    <t>Высота: 45мм, ширина: 30мм, длина: 250мм, толщина металла 1,5 мм</t>
  </si>
  <si>
    <t>коричневый, красный, зеленый, серый *</t>
  </si>
  <si>
    <t>Материалы для обрешетки</t>
  </si>
  <si>
    <t xml:space="preserve">OSB-3 плита 2,5м*1,25м*9мм </t>
  </si>
  <si>
    <t>лист 2500*1250*9 мм</t>
  </si>
  <si>
    <t xml:space="preserve">OSB-3 плита 2,5м*1,25м*12мм </t>
  </si>
  <si>
    <t>лист 2500*1250*12 мм</t>
  </si>
  <si>
    <t>Мастика, гвозди, антисептик</t>
  </si>
  <si>
    <t>руб./кг</t>
  </si>
  <si>
    <t>Мастика для гибкой черепицы  (Фиксер)</t>
  </si>
  <si>
    <t>ведро 3,6кг</t>
  </si>
  <si>
    <t>ведро 12кг</t>
  </si>
  <si>
    <t>Мастика для гибкой черепицы (Фиксер)  картридж</t>
  </si>
  <si>
    <t>310 мл</t>
  </si>
  <si>
    <t>расход 1 кг на 10 кв.м. кровли</t>
  </si>
  <si>
    <t>кг</t>
  </si>
  <si>
    <t>Гвозди ершеные 1 кг, ведерко</t>
  </si>
  <si>
    <t>Доборные элементы для мягкой черепицы</t>
  </si>
  <si>
    <t>Антисептик  для кровли  1 л</t>
  </si>
  <si>
    <t>расход 1 л на 30 кв.м. кровли</t>
  </si>
  <si>
    <t xml:space="preserve">        Наименование</t>
  </si>
  <si>
    <t>Цена руб./п.м., стандартные длины 2м и 3м</t>
  </si>
  <si>
    <t>Антисептик  для кровли  5 л</t>
  </si>
  <si>
    <t>Velur®</t>
  </si>
  <si>
    <t xml:space="preserve">GreenCoat Pural®, Pural Matt </t>
  </si>
  <si>
    <t>Планка ветровая двойная завальцовка 60*30*90 мм</t>
  </si>
  <si>
    <t>Нож для резки гибкой битумной черепицы PL</t>
  </si>
  <si>
    <t xml:space="preserve">Планка ветровая простая 100*20*100 </t>
  </si>
  <si>
    <t>Инструмент для демонтажа гибкой битумной черепицы Malco</t>
  </si>
  <si>
    <t xml:space="preserve">Планка ветровая простая 100*20*70 </t>
  </si>
  <si>
    <t>Планка ветровая простая 130*25*100</t>
  </si>
  <si>
    <t>Коллекции битумной черепицы Shinglas продаются кратно упаковкам.</t>
  </si>
  <si>
    <t>Планка капельник 100*60 мм</t>
  </si>
  <si>
    <t>Конек/карниз и Ендовный ковер - продаются кратно упаковкам.</t>
  </si>
  <si>
    <t>Планка примыкания для мягкой кровли</t>
  </si>
  <si>
    <t>Финская черепица</t>
  </si>
  <si>
    <t>SHINGLAS КЛАССИК МОДЕРН</t>
  </si>
  <si>
    <t>SHINGLAS КЛАССИК КАДРИЛЬ</t>
  </si>
  <si>
    <t>SHINGLAS КЛАССИК РУМБА</t>
  </si>
  <si>
    <t>SHINGLAS КЛАССИК ФЛАМЕНКО</t>
  </si>
  <si>
    <t>SHINGLAS КЛАССИК ТАНГО</t>
  </si>
  <si>
    <t>SHINGLAS УЛЬТРА САМБА</t>
  </si>
  <si>
    <t>SHINGLAS УЛЬТРА ФОКСТРОТ</t>
  </si>
  <si>
    <t>Комплектующие (мастика, гвозди)</t>
  </si>
  <si>
    <t>Антисептик для кровли</t>
  </si>
  <si>
    <t xml:space="preserve">Брусок профилированный </t>
  </si>
  <si>
    <t>1.5. Мягкая черепица Icopal (Финляндия)</t>
  </si>
  <si>
    <t>Цвета</t>
  </si>
  <si>
    <t>Вид нарезки</t>
  </si>
  <si>
    <t>Цена, руб./уп.</t>
  </si>
  <si>
    <t>Цена, руб./л</t>
  </si>
  <si>
    <t>Гибкая черепица ИКОПАЛ Плано и Плано XL (однослойная)</t>
  </si>
  <si>
    <t>Клей-герметик</t>
  </si>
  <si>
    <t>ПЛАНО Натур</t>
  </si>
  <si>
    <t>Графитно-черный</t>
  </si>
  <si>
    <t>Клей кровельный</t>
  </si>
  <si>
    <t>2,5 л</t>
  </si>
  <si>
    <t>Зеленый лес, Кирпично-красный, Натурально-коричневый, Угольно-серый</t>
  </si>
  <si>
    <t>5 л</t>
  </si>
  <si>
    <t>ПЛАНО Тема</t>
  </si>
  <si>
    <t>Зеленый лес, Кирпично-красный, Натурально-коричневый, Клюквенно-красный</t>
  </si>
  <si>
    <t>10 л</t>
  </si>
  <si>
    <t>ПЛАНО Кларо</t>
  </si>
  <si>
    <t>Голубой океан</t>
  </si>
  <si>
    <t>Зеленый лес, Кирпично-красный, Натурально-коричневый</t>
  </si>
  <si>
    <t>Подкладочный ковер Икопал К-ЕЛ</t>
  </si>
  <si>
    <t>рулон 1 * 15 м = 15 м²</t>
  </si>
  <si>
    <t>ПЛАНО Антик</t>
  </si>
  <si>
    <t>Подкладочный ковер Икопал Fel'X</t>
  </si>
  <si>
    <t xml:space="preserve">рулон 1 * 40 м = 40 м²,  плотность 500 г/м² </t>
  </si>
  <si>
    <t>ПЛАНО Кларо Антик</t>
  </si>
  <si>
    <t>Цена, руб./кг</t>
  </si>
  <si>
    <t>ПЛАНО XL</t>
  </si>
  <si>
    <t>Черный антрацит, Серый гранит</t>
  </si>
  <si>
    <t>2,3 м²</t>
  </si>
  <si>
    <t>Гвозди 5 кг, коробка</t>
  </si>
  <si>
    <t xml:space="preserve">Конек/карниз ИКОПАЛ Плано                              </t>
  </si>
  <si>
    <t>Конек/карниз ПЛАНО Combi</t>
  </si>
  <si>
    <t>Зеленый лес, Кирпично-красный, Натурально-коричневый, Клюквенно-красный, Угольно-серый, Графитно-черный, Голубой океан</t>
  </si>
  <si>
    <t>длина 1 гонта = 1 м; 16 п.м. (карниз); 9 п.м. (конек/ребер)</t>
  </si>
  <si>
    <t>Ендова ИКОПАЛ Плано и Плано XL</t>
  </si>
  <si>
    <t>Ендова ПЛАНО PintaUltra (для черепицы Плано)</t>
  </si>
  <si>
    <t>0,7 х 10 м = 7 м²</t>
  </si>
  <si>
    <t xml:space="preserve">Ендова ПЛАНО LiimaUltra                  (для черепицы Плано XL) </t>
  </si>
  <si>
    <t>1 м х 8 м = 8 м²</t>
  </si>
  <si>
    <t>Длина: 260мм, ширина: 20мм, высота: 80мм, толщина металла 1 мм</t>
  </si>
  <si>
    <t>1.5. Битумная черепица CertainTeed (США)</t>
  </si>
  <si>
    <t>Цена, руб./м.п.</t>
  </si>
  <si>
    <t>Кровельное покрытие: основа стеклохолст, посыпка базальтовая цветная крошка</t>
  </si>
  <si>
    <t>Аксессуары</t>
  </si>
  <si>
    <r>
      <rPr>
        <b/>
        <sz val="10"/>
        <rFont val="Arial Cyr"/>
        <charset val="204"/>
      </rPr>
      <t xml:space="preserve">СТ20 </t>
    </r>
    <r>
      <rPr>
        <sz val="10"/>
        <rFont val="Arial Cyr"/>
        <charset val="204"/>
      </rPr>
      <t>(однослойная)</t>
    </r>
  </si>
  <si>
    <t>Цвета в наличии - Cedar Brown, Dove Gray, Evergreen Blend, Moire Black, Red Blend
Цвета под заказ (от 60 дней) - Weathered Wood</t>
  </si>
  <si>
    <t>Коньковый элемент Shadow Ridge
(для коллекций Landmark и Independence)</t>
  </si>
  <si>
    <t>9,14 м.п.</t>
  </si>
  <si>
    <t>в цвет кровельного покрытия</t>
  </si>
  <si>
    <r>
      <rPr>
        <b/>
        <sz val="10"/>
        <rFont val="Arial Cyr"/>
        <charset val="204"/>
      </rPr>
      <t xml:space="preserve">Highland Slate </t>
    </r>
    <r>
      <rPr>
        <sz val="10"/>
        <rFont val="Arial Cyr"/>
        <charset val="204"/>
      </rPr>
      <t>(однослойная)</t>
    </r>
  </si>
  <si>
    <t>Цвета в наличии - Black Granite, New England Slate, Tudor Brown, Venetian Red
Цвета под заказ (от 60 дней) - Fieldstone, Max Def Weathered Wood, Saddle Brown, Smokey Quartz</t>
  </si>
  <si>
    <t>Коньковый элемент Shangle Ridge
(для коллекций Grand Manor, Carriage House и Highland Slate)</t>
  </si>
  <si>
    <t>3,05 м.п.</t>
  </si>
  <si>
    <r>
      <rPr>
        <b/>
        <sz val="10"/>
        <rFont val="Arial Cyr"/>
        <charset val="204"/>
      </rPr>
      <t>Landmark</t>
    </r>
    <r>
      <rPr>
        <sz val="10"/>
        <rFont val="Arial Cyr"/>
        <charset val="204"/>
      </rPr>
      <t xml:space="preserve"> (двухслойная ламинированная)</t>
    </r>
  </si>
  <si>
    <t>Цвета в наличии - Atlantic Blue, Burnt Sienna, Colonial Slate, Cottage Red, Georgetown Gray, Heather Blend, Hunter Green, Moire Black, Mojave Tan, Resawn Shake, Spanish Tile, Weathered Wood
Цвета под заказ (от 60 дней) - Charcoal Black, Cobblestone Gray, Driftwood, Pewter, Silver Birch, Sunrise Cedar</t>
  </si>
  <si>
    <t>6 - 7</t>
  </si>
  <si>
    <t>Коньковый элемент Cedar Crest
(для коллекций Landmark, Landmark TL, Presidential Shake, Presidential Shake TL, Hatteras и Highland Slat)</t>
  </si>
  <si>
    <t>6,096 м.п.</t>
  </si>
  <si>
    <r>
      <rPr>
        <b/>
        <sz val="10"/>
        <rFont val="Arial Cyr"/>
        <charset val="204"/>
      </rPr>
      <t>Independence</t>
    </r>
    <r>
      <rPr>
        <sz val="10"/>
        <rFont val="Arial Cyr"/>
        <charset val="204"/>
      </rPr>
      <t xml:space="preserve"> (двухслойная ламинированная)</t>
    </r>
  </si>
  <si>
    <t>Цвета в наличии - Burnt Sienna, Colonial Slate, Cottage Red
Цвета под заказ (от 60 дней) - Charcoal Black, Driftwood, Georgetown Gray, Heather Blend, Hunter Green, Weathered Wood</t>
  </si>
  <si>
    <t>Стартовый элемент SwiftStart
(для коллекций СТ20, Landmark, Landmark TL, Independence)</t>
  </si>
  <si>
    <t>35,43 м.п.</t>
  </si>
  <si>
    <r>
      <rPr>
        <b/>
        <sz val="10"/>
        <rFont val="Arial Cyr"/>
        <charset val="204"/>
      </rPr>
      <t>Presidential Shake</t>
    </r>
    <r>
      <rPr>
        <sz val="10"/>
        <rFont val="Arial Cyr"/>
        <charset val="204"/>
      </rPr>
      <t xml:space="preserve"> (двухслойная ламинированная)</t>
    </r>
  </si>
  <si>
    <t>Цвета в наличии - Aged Bark, Autumn Blend
Цвета под заказ (от 60 дней) - Chaparral Cedar, Charcoal Black, Chestnut, Classic Weathered Wood, Shadow Gray, Slate Gray, Weathered Wood</t>
  </si>
  <si>
    <t>Стартовый элемент Presidential Starter
(для коллекций  Presidential Shake,  Presidential Shake TL)</t>
  </si>
  <si>
    <t>11,17 м.п.</t>
  </si>
  <si>
    <r>
      <rPr>
        <b/>
        <sz val="10"/>
        <rFont val="Arial Cyr"/>
        <charset val="204"/>
      </rPr>
      <t>Carriage House</t>
    </r>
    <r>
      <rPr>
        <sz val="10"/>
        <rFont val="Arial Cyr"/>
        <charset val="204"/>
      </rPr>
      <t xml:space="preserve"> (двухслойная ламинированная - два полноразмерных гонта)</t>
    </r>
  </si>
  <si>
    <t>Цвета в наличии - Black Pearl, Brownstone, Colonial Slate, Georgian Brick, Sherwood Forest
Цвета под заказ (от 60 дней)  - Gatehouse Slate, Stonegate Gray, Victorian Blue</t>
  </si>
  <si>
    <t>Стартовый элемент High-Performance Starter
(для коллекции Highland Slate )</t>
  </si>
  <si>
    <t>31,09 м.п.</t>
  </si>
  <si>
    <r>
      <rPr>
        <b/>
        <sz val="10"/>
        <rFont val="Arial Cyr"/>
        <charset val="204"/>
      </rPr>
      <t>Grand Manor</t>
    </r>
    <r>
      <rPr>
        <sz val="10"/>
        <rFont val="Arial Cyr"/>
        <charset val="204"/>
      </rPr>
      <t xml:space="preserve"> (трехслойная ламинированная - два полноразмерных гонта с массивными лепестками)</t>
    </r>
  </si>
  <si>
    <t>Цвета в наличии - Brownstone, Colonial Slate, Georgian Brick
Цвета под заказ (от 60 дней) - Black Pearl, Gatehouse Slate, Sherwood Forest, Stonegate Gray, Terra Cotta, Tudor Brown, Weathered Wood</t>
  </si>
  <si>
    <t>9 - 10,5</t>
  </si>
  <si>
    <t>Подкладочный ковер EasyLay LeakBarrier Tarсo (для всех коллекций, полиэстер, клеющийся, с разметкой)</t>
  </si>
  <si>
    <t>0,914 х 40,54 м.п.
37,16 м2</t>
  </si>
  <si>
    <r>
      <rPr>
        <b/>
        <sz val="10"/>
        <rFont val="Arial Cyr"/>
        <charset val="204"/>
      </rPr>
      <t xml:space="preserve"> Landmark TL</t>
    </r>
    <r>
      <rPr>
        <sz val="10"/>
        <rFont val="Arial Cyr"/>
        <charset val="204"/>
      </rPr>
      <t xml:space="preserve"> (трехслойная ламинированная)</t>
    </r>
  </si>
  <si>
    <t>Цвета под заказ (от 60 дней) - Max Def Weathered Wood, Max Def Burnt Sienna, Max Def Colonial Slate, Max Def Moire Black, Max Def Resawn Shake, Max Def Cobblestone Gray, Max Def  Old Overton, Max Def Shenandoah</t>
  </si>
  <si>
    <t>Подкладочный ковер/Ендовный ковер MS-300 LeakBarrier Tarсo (для всех коллекций, самолеющийся, самозатягивающийся, с защитной пленкой)</t>
  </si>
  <si>
    <t>0,914 х 20,36 м.п.
18,58 м2</t>
  </si>
  <si>
    <r>
      <rPr>
        <b/>
        <sz val="10"/>
        <rFont val="Arial Cyr"/>
        <charset val="204"/>
      </rPr>
      <t xml:space="preserve">Presidential Shake TL </t>
    </r>
    <r>
      <rPr>
        <sz val="10"/>
        <rFont val="Arial Cyr"/>
        <charset val="204"/>
      </rPr>
      <t>(трехслойная ламинированная)</t>
    </r>
  </si>
  <si>
    <t>Цвета под заказ (от 60 дней) - Aged Bark, Autumn Blend, Charcoal Black, Chestnut, Shadow Gray, Weathered Wood, Spanish Tile, Classic Weathered Wood</t>
  </si>
  <si>
    <t>Подкладочный ковер WinterGuard Sand (для всех коллекций, самоклеющийся, самозатягивающийся, армирован стекловолоконной подложкой)</t>
  </si>
  <si>
    <t>0,914 х 19,81 м.п.
18,116 м2</t>
  </si>
  <si>
    <t>темно-серый</t>
  </si>
  <si>
    <t>Виды нарезки CertainTeed:</t>
  </si>
  <si>
    <t>Мастика</t>
  </si>
  <si>
    <t>Кровельная мастика Gardner Wet-Dri Cement 300 мл</t>
  </si>
  <si>
    <t>картридж 300 мл
расход на 10-12 кв.м</t>
  </si>
  <si>
    <t>Кровельная мастика Gardner Wet-Dri Cement 3,4 л</t>
  </si>
  <si>
    <t>банка 3,4 л
расход на 90-110 кв.м</t>
  </si>
  <si>
    <t>Черепица ПЛАНО Натур</t>
  </si>
  <si>
    <t>Черепица CertainTeed</t>
  </si>
  <si>
    <t xml:space="preserve">Черепица ПЛАНО Тема </t>
  </si>
  <si>
    <t xml:space="preserve">Черепица ПЛАНО Кларо </t>
  </si>
  <si>
    <t xml:space="preserve">Черепица ПЛАНО Антик </t>
  </si>
  <si>
    <t>Черепица ПЛАНО Кларо Антик</t>
  </si>
  <si>
    <t>Черепица ПЛАНО XL</t>
  </si>
  <si>
    <t>Ендова ПЛАНО PintaUltra</t>
  </si>
  <si>
    <t xml:space="preserve">Ендова ПЛАНО LiimaUltra   </t>
  </si>
  <si>
    <t>Клей Икопал</t>
  </si>
  <si>
    <t>Ковер подкладочный Икопал К-ЕЛ</t>
  </si>
  <si>
    <t>Ковер подкладочный Икопал Fel'X</t>
  </si>
  <si>
    <t>Гвозди</t>
  </si>
  <si>
    <t>Объем</t>
  </si>
  <si>
    <t>Расход</t>
  </si>
  <si>
    <t>Стеклоизол и Рубероид</t>
  </si>
  <si>
    <t>Праймеры</t>
  </si>
  <si>
    <t>Праймер битумный ТЕХНОНИКОЛЬ № 01</t>
  </si>
  <si>
    <t>ведро 10 л</t>
  </si>
  <si>
    <t>0,25–0,35 л/м2</t>
  </si>
  <si>
    <t>ведро 20 л</t>
  </si>
  <si>
    <t>ведро 20 л концентрат</t>
  </si>
  <si>
    <t>0,25 –0,35 л/м2</t>
  </si>
  <si>
    <t>Мастики кровельные, гидроизоляционные</t>
  </si>
  <si>
    <t>Мастика битумно-резиновая ТЕХНОНИКОЛЬ №20</t>
  </si>
  <si>
    <t>ведро 20 кг</t>
  </si>
  <si>
    <t>мастичная кровля – 3,8-5,7 кг/м2
гидроизоляция - 2,5 - 3,5 кг/м2</t>
  </si>
  <si>
    <t>Мастика кровельная ТЕХНОНИКОЛЬ № 21 (Техномаст)</t>
  </si>
  <si>
    <t>ведро 3 кг</t>
  </si>
  <si>
    <t>ведро 10 кг</t>
  </si>
  <si>
    <t>Мастика гидроизоляционная ТЕХНОНИКОЛЬ № 24 (МГТН)</t>
  </si>
  <si>
    <t>на один слой не более 1 кг/м2</t>
  </si>
  <si>
    <t>ведро 18 кг</t>
  </si>
  <si>
    <t>Мастика кровельная горячая ТЕХНОНИКОЛЬ № 41 (Эврика)</t>
  </si>
  <si>
    <t>мешок 30 кг</t>
  </si>
  <si>
    <t>зависит от типа выполняемых работ</t>
  </si>
  <si>
    <t>Мастика защитная алюминиевая ТЕХНОНИКОЛЬ № 57</t>
  </si>
  <si>
    <t>мастичная кровля – 0,4 кг/м2
старая рулонная кровля – 0,6 кг/м2
металлическая кровля – 0,4 кг/м2</t>
  </si>
  <si>
    <t>Мастика герметизирующая битумно-полимерная ТЕХНОНИКОЛЬ №71</t>
  </si>
  <si>
    <t>ведо 3 кг</t>
  </si>
  <si>
    <t>картридж 310 мл</t>
  </si>
  <si>
    <t>Битумный клей</t>
  </si>
  <si>
    <t>Клей для рубероида</t>
  </si>
  <si>
    <t>при склеивании между собой 
2х слоев рулонного материала - 1,5-2 кг/м2, 
3х слоев – 3-4 кг/м2</t>
  </si>
  <si>
    <t>* - Условное обозначение армирующих основ (1-я буква обозначения): Э – полиэстер; Т – стеклоткань; Х - стеклохолст</t>
  </si>
  <si>
    <t>Мастика приклеивающая ТЕХНОНИКОЛЬ № 27</t>
  </si>
  <si>
    <t>ведро 22 кг</t>
  </si>
  <si>
    <t>при нанесении полосами 0,6-1 кг/м², 
при нанесении точками 0,5-0,8 кг/м²</t>
  </si>
  <si>
    <t>** - Условное обозначение покрытие лицевой стороны (2-я и 3-я буквы): МП - мелкая посыпка, КП - крупная посыпка, ПП - плоская поверхность</t>
  </si>
  <si>
    <t>Мастика № 23 (Фиксер)</t>
  </si>
  <si>
    <t>ведро 12 кг</t>
  </si>
  <si>
    <t>от 0,1 кг/мп в местах нанесения</t>
  </si>
  <si>
    <t>*** - значения 2,0, 2,1, 2,5, 3,0, 3,5, 4,0 - количество битума в кг на 1 м2</t>
  </si>
  <si>
    <t>ведро 3,6 кг</t>
  </si>
  <si>
    <t>Все цены указаны с НДС</t>
  </si>
  <si>
    <t>Стеклоизол, рубероид, мастика ТН №71</t>
  </si>
  <si>
    <t>Праймеры, мастики, клей</t>
  </si>
  <si>
    <t>1.7. Композитная черепица Grand Line®</t>
  </si>
  <si>
    <t>Внешний вид</t>
  </si>
  <si>
    <t>Наименование/описание</t>
  </si>
  <si>
    <t>Размер</t>
  </si>
  <si>
    <t>Листы композитной черепицы</t>
  </si>
  <si>
    <t>Комплектующие к композитной черепице</t>
  </si>
  <si>
    <t>Базальтовая посыпка для ремкомплекта</t>
  </si>
  <si>
    <t>восстановления декоративного покрытия, маскировка шляпок гвоздей</t>
  </si>
  <si>
    <t>1 кг</t>
  </si>
  <si>
    <t>Краска для ремкомплекта Mtile</t>
  </si>
  <si>
    <t>200 г.</t>
  </si>
  <si>
    <t>2000 шт./уп.</t>
  </si>
  <si>
    <t>уп.</t>
  </si>
  <si>
    <t>Крепление коньковой/хребтовой обрешетки GL</t>
  </si>
  <si>
    <t>RR33, RR32, RR11, RR750, RR887</t>
  </si>
  <si>
    <t>Кровельный вентиль Decra-KTV Vilpe. Для КЧ GL Barcelona.</t>
  </si>
  <si>
    <t>Проходной элемент MUOTOKATE Vilpe. Для КМЧ GL Classic.</t>
  </si>
  <si>
    <t>Доборные элементы стандартные</t>
  </si>
  <si>
    <t>Лист плоский</t>
  </si>
  <si>
    <t>изготовление доборных элементов</t>
  </si>
  <si>
    <t>1250 х 1000 мм</t>
  </si>
  <si>
    <t>Планка конька круглого</t>
  </si>
  <si>
    <t>устройство коньков, ребер</t>
  </si>
  <si>
    <t>L = 2000 мм</t>
  </si>
  <si>
    <t>Заглушка конька круглого</t>
  </si>
  <si>
    <t>D 148 мм</t>
  </si>
  <si>
    <t>м.п.</t>
  </si>
  <si>
    <t>см.цену на нест.добор.эл. в прайсе профилировки</t>
  </si>
  <si>
    <t>Инструмент и прочие вспомогательные товары</t>
  </si>
  <si>
    <t>для подрезки листов из металла с каменной крошкой</t>
  </si>
  <si>
    <t>Турбо ножницы для толстой стали Malco</t>
  </si>
  <si>
    <t>Декоративная планка ендовы</t>
  </si>
  <si>
    <t>декоративная отделка ендовы (ендова верхняя)</t>
  </si>
  <si>
    <t>для подгиба доборных элементов и листов</t>
  </si>
  <si>
    <t>Ножницы подрезные/проходные, правые/левые EDMA</t>
  </si>
  <si>
    <t>для подрезки доборных эелементов в размер</t>
  </si>
  <si>
    <t>Планка фронтонная</t>
  </si>
  <si>
    <t>отделка фронтонов (торцов) кровли</t>
  </si>
  <si>
    <t>Брусок профилированный 50*40*3000</t>
  </si>
  <si>
    <t>Планка примыкания</t>
  </si>
  <si>
    <t>примыкание к вертикальным элементам кровли</t>
  </si>
  <si>
    <t>Планка защиты</t>
  </si>
  <si>
    <t>Планка карнизная большая</t>
  </si>
  <si>
    <t>вентилируемый карнизный свес, внешний излом ската</t>
  </si>
  <si>
    <t>Планка карнизная малая</t>
  </si>
  <si>
    <t>невентилируемый карнизный свес, внутренний излом ската</t>
  </si>
  <si>
    <t>Если цвет композитной мч GL</t>
  </si>
  <si>
    <t>цвет</t>
  </si>
  <si>
    <t>покрытие</t>
  </si>
  <si>
    <t>капучино</t>
  </si>
  <si>
    <t>RR32</t>
  </si>
  <si>
    <t>Velur ®</t>
  </si>
  <si>
    <t>кленовый латте</t>
  </si>
  <si>
    <t>RAL 8004</t>
  </si>
  <si>
    <t>Цены могут быть изменены Поставщиком в одностороннем порядке без предварительного уведомления Покупателя</t>
  </si>
  <si>
    <t>эспрессо</t>
  </si>
  <si>
    <t>RAL 9005</t>
  </si>
  <si>
    <t xml:space="preserve">Все цены указаны с НДС на складе завода Grand Line </t>
  </si>
  <si>
    <t>шоколад</t>
  </si>
  <si>
    <t>RAL 8017</t>
  </si>
  <si>
    <t>Доборные элементы и комплектующие</t>
  </si>
  <si>
    <t>Проходные элементы и вентиляция</t>
  </si>
  <si>
    <t>Тип</t>
  </si>
  <si>
    <t xml:space="preserve">Цена </t>
  </si>
  <si>
    <t>руб./шт</t>
  </si>
  <si>
    <t>руб./кв.м</t>
  </si>
  <si>
    <t>Листы черепицы Decra</t>
  </si>
  <si>
    <t>Планка фронтонная левая D_Cl</t>
  </si>
  <si>
    <t>для Classic               L=1250 мм</t>
  </si>
  <si>
    <r>
      <t>1324 x 410 мм 
(1260 х 370 мм, пол. S=0,465м</t>
    </r>
    <r>
      <rPr>
        <vertAlign val="superscript"/>
        <sz val="10"/>
        <rFont val="Arial Cyr"/>
        <charset val="204"/>
      </rPr>
      <t>2</t>
    </r>
    <r>
      <rPr>
        <sz val="10"/>
        <rFont val="Arial Cyr"/>
        <charset val="204"/>
      </rPr>
      <t>)</t>
    </r>
  </si>
  <si>
    <t>Планка фронтонная правая D_Cl</t>
  </si>
  <si>
    <t>Планка фронтонная левая D_Rom</t>
  </si>
  <si>
    <t>для Roman L=1250 мм</t>
  </si>
  <si>
    <t>Планка фронтонная правая D_Rom</t>
  </si>
  <si>
    <t>Планка фронтонная левая D_St</t>
  </si>
  <si>
    <t>для Stratos  L=1138 мм</t>
  </si>
  <si>
    <t xml:space="preserve">Планка фронтонная правая D_St </t>
  </si>
  <si>
    <t>1100 x 375 мм</t>
  </si>
  <si>
    <r>
      <t>1110 x 375 мм 
(1050 х 350 мм пол. S=0,368м</t>
    </r>
    <r>
      <rPr>
        <vertAlign val="superscript"/>
        <sz val="10"/>
        <rFont val="Arial Cyr"/>
        <charset val="204"/>
      </rPr>
      <t>2</t>
    </r>
    <r>
      <rPr>
        <sz val="10"/>
        <rFont val="Arial Cyr"/>
        <charset val="204"/>
      </rPr>
      <t>)</t>
    </r>
  </si>
  <si>
    <t>Ремкомплект Decra</t>
  </si>
  <si>
    <t>1,2 кг</t>
  </si>
  <si>
    <t>Гвозди Decra (1,5 кг), черные, красные</t>
  </si>
  <si>
    <t>500 шт/уп</t>
  </si>
  <si>
    <r>
      <t>1290 x 360 мм 
(1230 х 320 мм пол. S=0,394м</t>
    </r>
    <r>
      <rPr>
        <vertAlign val="superscript"/>
        <sz val="10"/>
        <rFont val="Arial Cyr"/>
        <charset val="204"/>
      </rPr>
      <t>2</t>
    </r>
    <r>
      <rPr>
        <sz val="10"/>
        <rFont val="Arial Cyr"/>
        <charset val="204"/>
      </rPr>
      <t>)</t>
    </r>
  </si>
  <si>
    <t>Гвозди Decra (6 кг), черные, красные</t>
  </si>
  <si>
    <t>2000 шт/уп</t>
  </si>
  <si>
    <t>Саморезы Decra (1,6 кг), черные, красные</t>
  </si>
  <si>
    <t>Вентилятор санитарный D_Cl</t>
  </si>
  <si>
    <t>423x 410 мм</t>
  </si>
  <si>
    <t>Вентилятор подкр. пространства D_Cl</t>
  </si>
  <si>
    <t>423 x 410 мм</t>
  </si>
  <si>
    <t>1293 х 419 мм (1250 х 399 мм пол. S=0,5м²)</t>
  </si>
  <si>
    <t xml:space="preserve">TV проходной элемент D_Cl </t>
  </si>
  <si>
    <t>427 x 415 мм</t>
  </si>
  <si>
    <t xml:space="preserve">Вентилятор санитарный D_St </t>
  </si>
  <si>
    <t>454 x 364 мм</t>
  </si>
  <si>
    <t>Вентилятор подкр. пространства D_St</t>
  </si>
  <si>
    <t>Вентилятор санитарный и подкровельный D_Rom</t>
  </si>
  <si>
    <t>630 x 375 мм</t>
  </si>
  <si>
    <t>Доборные элементы и комплектующие для коллекций Classic (Cl), Roman (Rom), Stratos (St)</t>
  </si>
  <si>
    <t>для Classic</t>
  </si>
  <si>
    <t>Лист плоский D_Cl/Rom/St</t>
  </si>
  <si>
    <t>1250 х 450 мм</t>
  </si>
  <si>
    <t>для Roman и Stratos</t>
  </si>
  <si>
    <t>Конек полукруглый одинарный D_Cl/Rom</t>
  </si>
  <si>
    <t>L = 423 мм</t>
  </si>
  <si>
    <t>Доборные элементы и комплектующие Decra Quadro</t>
  </si>
  <si>
    <t>Конек полукруглый тройной D_Cl/Rom</t>
  </si>
  <si>
    <t>L = 1225 мм</t>
  </si>
  <si>
    <t>Лист плоский D_Quadro</t>
  </si>
  <si>
    <t>1250 х 370 мм</t>
  </si>
  <si>
    <t xml:space="preserve">Конек полукруглый начальный D_Cl/Rom </t>
  </si>
  <si>
    <t>Конек V-образный D_Quadro</t>
  </si>
  <si>
    <t>L = 1250 мм</t>
  </si>
  <si>
    <t>Конек полукруглый начальный HIP D_Cl/Rom</t>
  </si>
  <si>
    <t>L = 380 мм</t>
  </si>
  <si>
    <t>Ендова D_Quadro</t>
  </si>
  <si>
    <t xml:space="preserve">Конек полукруглый конечный D_Cl/Rom </t>
  </si>
  <si>
    <t>Планка карнизная D_Quadro</t>
  </si>
  <si>
    <t>Y-эл. полукруг. конька начальный D_Cl/Rom</t>
  </si>
  <si>
    <t>х</t>
  </si>
  <si>
    <t>Планка прижимная D_Quadro</t>
  </si>
  <si>
    <t>Y-эл. полукруг. конька конечный D_Cl/Rom</t>
  </si>
  <si>
    <t>Планка примыкания левая D_Quadro</t>
  </si>
  <si>
    <t>T-эл. полукруг. конька D_Cl/Rom</t>
  </si>
  <si>
    <t>Планка примыкания правая D_Quadro</t>
  </si>
  <si>
    <t>Конек V-образный D_St</t>
  </si>
  <si>
    <t>для Stratos L=1250 мм</t>
  </si>
  <si>
    <t>Планка фронтонная левая D_Quadro</t>
  </si>
  <si>
    <t>Заглушка для V-образного конька D_St</t>
  </si>
  <si>
    <t>Планка фронтонная правая D_Quadro</t>
  </si>
  <si>
    <t xml:space="preserve">Планка карнизная D_Cl/Rom/St </t>
  </si>
  <si>
    <t>Фартук D_Quadro</t>
  </si>
  <si>
    <t>Саморезы D_Quadro</t>
  </si>
  <si>
    <t>250 шт/уп</t>
  </si>
  <si>
    <t>Ремкомплект D_Quadro</t>
  </si>
  <si>
    <t>Вентилятор сантехнический D_Quadro</t>
  </si>
  <si>
    <t>340 х 419мм</t>
  </si>
  <si>
    <t>Ендова Decra (металл с порошковой окраской, без камен. крошки), коричневый, терракотта, графит</t>
  </si>
  <si>
    <t>Вентилятор подкр. пространства D_Quadro</t>
  </si>
  <si>
    <t>Фартук D_Cl/Rom/St (планка примыкания верхнего)</t>
  </si>
  <si>
    <t>Планка примыкания левая D_Cl</t>
  </si>
  <si>
    <t xml:space="preserve"> для Classic L=1250 мм</t>
  </si>
  <si>
    <t>Планка примыкания правая D_Cl</t>
  </si>
  <si>
    <t>Планка примыкания левая D_St</t>
  </si>
  <si>
    <t>для Stratos           L=1138 мм</t>
  </si>
  <si>
    <t xml:space="preserve">Планка примыкания правая D_St </t>
  </si>
  <si>
    <t>Ножницы подрезные/проходные левые/правые EDMA</t>
  </si>
  <si>
    <t>Планка прижимная D_Cl/Rom/St</t>
  </si>
  <si>
    <t>Примечание</t>
  </si>
  <si>
    <t>Цены могут быть пересмотрены и изменены Поставщиком в одностороннем порядке без предварительного уведомления Покупателя</t>
  </si>
  <si>
    <t>Черепица со склада в России</t>
  </si>
  <si>
    <t>Черепица под заказ</t>
  </si>
  <si>
    <t>Комплектующие</t>
  </si>
  <si>
    <t>Проходные элементы</t>
  </si>
  <si>
    <t>Вентилятор кровельный Luxard Classic*</t>
  </si>
  <si>
    <t>две волны</t>
  </si>
  <si>
    <t>Лист Luxard Classic (бордо, коралл, мокко, абсент, пробка)</t>
  </si>
  <si>
    <t>1350 x 415 мм (пол. S=0,47 м2)</t>
  </si>
  <si>
    <t>Лист Luxard Roman (алланит, бордо, коралл, пробка, абсент, мокко)</t>
  </si>
  <si>
    <t>1330 x 430 мм (пол. S=0,47 м2)</t>
  </si>
  <si>
    <t>Вентилятор кровельный Luxard Roman*</t>
  </si>
  <si>
    <t>Доборные элементы и комплектующие Luxard, которые можно заменить на аналог Grand Line</t>
  </si>
  <si>
    <t>Доборные элементы стандартные Luxard</t>
  </si>
  <si>
    <t>Ребристый желобок для обустройства ендовы, красный, черный, коричневый</t>
  </si>
  <si>
    <t>1600(1500)х500 мм</t>
  </si>
  <si>
    <t>Лист плоский малый (450 мм)</t>
  </si>
  <si>
    <t>1250 x 450 мм</t>
  </si>
  <si>
    <t>Лист плоский большой (600 мм)</t>
  </si>
  <si>
    <t>1250 x 600 мм</t>
  </si>
  <si>
    <t>Лента для примыкания гофр.алюм. Luxard,цвет карсный, кориченвый, черный</t>
  </si>
  <si>
    <t>280х5000 мм</t>
  </si>
  <si>
    <t>Конек полукруглый</t>
  </si>
  <si>
    <t>L = 395 мм</t>
  </si>
  <si>
    <t xml:space="preserve">Заглушка для полукруглого конька </t>
  </si>
  <si>
    <t>95 х 148 мм</t>
  </si>
  <si>
    <t>Планка прижимная (применяется при использовании ленты для примыкания)</t>
  </si>
  <si>
    <t xml:space="preserve">Конек ребровой * </t>
  </si>
  <si>
    <t>Аэроэлемент конька/хребта Luxard (коричневый, красный, черный)</t>
  </si>
  <si>
    <t>320х5000 мм</t>
  </si>
  <si>
    <t>Ендова</t>
  </si>
  <si>
    <t xml:space="preserve">Поролоновая полоса (самоклеющаяся) </t>
  </si>
  <si>
    <t>1000х60 мм</t>
  </si>
  <si>
    <t>Накладка ендовы *</t>
  </si>
  <si>
    <t>Лента вентиляционная Luxard, коричневая</t>
  </si>
  <si>
    <t>100х5000 мм</t>
  </si>
  <si>
    <t>Планка торцевая левая</t>
  </si>
  <si>
    <t>Проходной элемент DECRA (для панелей Classic)</t>
  </si>
  <si>
    <t>380х290х34 мм</t>
  </si>
  <si>
    <t>Планка торцевая правая</t>
  </si>
  <si>
    <t xml:space="preserve">Планка карнизная </t>
  </si>
  <si>
    <t>Проходной элемент UNIVERSAL 2К (для панелей Roman)</t>
  </si>
  <si>
    <t>532х400 мм</t>
  </si>
  <si>
    <t>Планка примыкания верхнего (к верт.стене)</t>
  </si>
  <si>
    <t>Планка примыкания левая</t>
  </si>
  <si>
    <t>Планка примыкания  правая</t>
  </si>
  <si>
    <t>Комплектующие к композитной черепице  стандартные Luxard</t>
  </si>
  <si>
    <t>Зажим ендовы (скобка)</t>
  </si>
  <si>
    <t>Гвозди черные ершеные. Для профиля Classic</t>
  </si>
  <si>
    <t>упаковка 500шт</t>
  </si>
  <si>
    <t>*  данные позиции являются заказными. Все заказные и нестандартные позиции после подтверждения заказа возврату и обмену не подлежат</t>
  </si>
  <si>
    <t>упаковка 1000шт</t>
  </si>
  <si>
    <t>Внимание! Прайс-лист действителен на территории Центрального федерального округа (ЦФО), Южного федерального округа (ЮФО) и Северо-Кавказского федерального округа (СКФО), Приволжского федерального округа (ПФО), Северо-Западного федерального округа (СЗФО)</t>
  </si>
  <si>
    <t>Гранулят ремонтный</t>
  </si>
  <si>
    <t>канистра 1,8 кг</t>
  </si>
  <si>
    <t>Краска ремонтная черная</t>
  </si>
  <si>
    <t>канистра 1,0 л</t>
  </si>
  <si>
    <t>Крепление коньковой/хребтовой обрешетки Luxard</t>
  </si>
  <si>
    <t>Все цены указаны с НДС на складах заводов Grand Line</t>
  </si>
  <si>
    <t>Черепица Luxard</t>
  </si>
  <si>
    <t>Доборные элементы и комплектующие Luxard</t>
  </si>
  <si>
    <t>Профили с одноволновыми листами и доборные элементы к ним</t>
  </si>
  <si>
    <t>Планка карнизная (под все профили кроме Romana), кофе, терракотовый, зеленый, серый, красный, черный</t>
  </si>
  <si>
    <t>L = 1355 мм</t>
  </si>
  <si>
    <t>Лист MetroBond, терракотовый</t>
  </si>
  <si>
    <r>
      <t>1330 x 415 мм (1270 х 368 мм, пол. S=0,46 м</t>
    </r>
    <r>
      <rPr>
        <vertAlign val="superscript"/>
        <sz val="10"/>
        <rFont val="Arial Cyr"/>
        <charset val="204"/>
      </rPr>
      <t>2</t>
    </r>
    <r>
      <rPr>
        <sz val="10"/>
        <rFont val="Arial Cyr"/>
        <charset val="204"/>
      </rPr>
      <t>)</t>
    </r>
  </si>
  <si>
    <t>Лист MetroBond, кофе</t>
  </si>
  <si>
    <t>Лист MetroBond, зеленый, серый</t>
  </si>
  <si>
    <t>Планка карнизная (под все профили кроме Romana), другие цвета</t>
  </si>
  <si>
    <t>Лист MetroBond, красный, черный, терракотово-желтый</t>
  </si>
  <si>
    <t>Планка карнизная Romana, кофе, терракотовый, зеленый, серый, красный, черный</t>
  </si>
  <si>
    <t>L = 1100 мм</t>
  </si>
  <si>
    <t xml:space="preserve">Лист MetroBond, другие цвета </t>
  </si>
  <si>
    <r>
      <t>1280 x 415 мм (1220 х 368 мм пол. S=0,45 м</t>
    </r>
    <r>
      <rPr>
        <vertAlign val="superscript"/>
        <sz val="10"/>
        <rFont val="Arial Cyr"/>
        <charset val="204"/>
      </rPr>
      <t>2</t>
    </r>
    <r>
      <rPr>
        <sz val="10"/>
        <rFont val="Arial Cyr"/>
        <charset val="204"/>
      </rPr>
      <t>)</t>
    </r>
  </si>
  <si>
    <t>Планка карнизная Romana, другие цвета</t>
  </si>
  <si>
    <t>Капельник для отвода конденсата, кофе, терракотовый, зеленый, серый, красный, черный</t>
  </si>
  <si>
    <t xml:space="preserve">Лист MetroRoman, другие цвета </t>
  </si>
  <si>
    <t>Капельник для отвода конденсата, другие цвета</t>
  </si>
  <si>
    <t>Лист MetroShake 2, серый, кофе</t>
  </si>
  <si>
    <r>
      <t>1330 x 415 мм (1265 х 368 мм пол. S=0,47 м</t>
    </r>
    <r>
      <rPr>
        <vertAlign val="superscript"/>
        <sz val="10"/>
        <rFont val="Arial Cyr"/>
        <charset val="204"/>
      </rPr>
      <t>2</t>
    </r>
    <r>
      <rPr>
        <sz val="10"/>
        <rFont val="Arial Cyr"/>
        <charset val="204"/>
      </rPr>
      <t>)</t>
    </r>
  </si>
  <si>
    <t xml:space="preserve">Планка фронтонная правая/левая (под все профили кроме Romana), кофе, терракотовый, зеленый, серый, красный, черный </t>
  </si>
  <si>
    <t>Лист MetroShake 2, терракотовый, зеленый, серый, красный, черный, терракотово-желтый</t>
  </si>
  <si>
    <t>Лист MetroShake 2, другие цвета</t>
  </si>
  <si>
    <t>Планка фронтонная правая/левая  (под все профили кроме Romana), другие цвета</t>
  </si>
  <si>
    <t>Лист MetroClassic, кофе, терракотовый, зеленый, серый, красный, черный, терракотово-желтый</t>
  </si>
  <si>
    <t xml:space="preserve"> 1330 х 415 мм (1265 х 368 мм пол. S=0,47 м²)</t>
  </si>
  <si>
    <t>Заглушка фронтонной планки правая\левая (под все профили кроме Romana), кофе, терракотовый, зеленый, серый, красный, черный</t>
  </si>
  <si>
    <t>Лист MetroClassic, другие цвета</t>
  </si>
  <si>
    <t>Заглушка фронтонной планки правая\левая (под все профили кроме Romana), другие цвета</t>
  </si>
  <si>
    <t>Лист MetroViksen, кофе, терракотовый, зеленый, серый, красный, черный, терракотово-желтый</t>
  </si>
  <si>
    <r>
      <t>1325 x 410 мм (1260 х 368 мм пол. S=0,46 м</t>
    </r>
    <r>
      <rPr>
        <vertAlign val="superscript"/>
        <sz val="10"/>
        <rFont val="Arial Cyr"/>
        <charset val="204"/>
      </rPr>
      <t>2</t>
    </r>
    <r>
      <rPr>
        <sz val="10"/>
        <rFont val="Arial Cyr"/>
        <charset val="204"/>
      </rPr>
      <t>)</t>
    </r>
  </si>
  <si>
    <t xml:space="preserve">Планка фронтонная правая\левая, Romana, кофе, терракотовый, зеленый, серый, красный, черный </t>
  </si>
  <si>
    <t>Лист MetroViksen, другие цвета</t>
  </si>
  <si>
    <t>Планка фронтонная правая\левая, Romana, другие цвета</t>
  </si>
  <si>
    <t>Лист Metrotile Gallo, кофе, терракотовый</t>
  </si>
  <si>
    <r>
      <t>1315 x 418 мм (1185 х 370 мм пол. S=0,44 м</t>
    </r>
    <r>
      <rPr>
        <vertAlign val="superscript"/>
        <sz val="10"/>
        <rFont val="Arial Cyr"/>
        <charset val="204"/>
      </rPr>
      <t>2</t>
    </r>
    <r>
      <rPr>
        <sz val="10"/>
        <rFont val="Arial Cyr"/>
        <charset val="204"/>
      </rPr>
      <t>)</t>
    </r>
  </si>
  <si>
    <t>Планка примыкания правая/левая (под все профили кроме Romana), кофе, терракотовый, зеленый, серый, красный, черный</t>
  </si>
  <si>
    <t>Лист Metrotile Gallo, зеленый, серый, красный, черный, терракотово-желтый</t>
  </si>
  <si>
    <t>Лист Metrotile Gallo, другие цвета</t>
  </si>
  <si>
    <t>Планка примыкания правая/левая (под все профили кроме Romana), другие цвета</t>
  </si>
  <si>
    <t>Лист Metrotile Mistral, айрон-барк</t>
  </si>
  <si>
    <r>
      <t>1305 x 415 мм (1240 х 370 мм пол. S=0,46 м</t>
    </r>
    <r>
      <rPr>
        <vertAlign val="superscript"/>
        <sz val="10"/>
        <rFont val="Arial Cyr"/>
        <charset val="204"/>
      </rPr>
      <t>2</t>
    </r>
    <r>
      <rPr>
        <sz val="10"/>
        <rFont val="Arial Cyr"/>
        <charset val="204"/>
      </rPr>
      <t>)</t>
    </r>
  </si>
  <si>
    <t>Фартук, кофе, терракотовый, зеленый, серый, красный, черный</t>
  </si>
  <si>
    <t>L = 1365 мм</t>
  </si>
  <si>
    <t>Лист Metrotile Mistral, кофе, терракотовый, зеленый, серый, красный, черный, терракотово-желтый</t>
  </si>
  <si>
    <t>Лист Metrotile Mistral, другие цвета</t>
  </si>
  <si>
    <t>Фартук, другие цвета</t>
  </si>
  <si>
    <t>Лист Metrotile Romana, все цвета</t>
  </si>
  <si>
    <t>1165 x 400 мм (1085 х 370 мм пол. S=0,40 м2)</t>
  </si>
  <si>
    <t>Ендова, коричневый, терракотовый, красный, серый, зеленый (металл без посыпки)</t>
  </si>
  <si>
    <t>Лист плоский, кофе, терракотовый, зеленый, серый, красный, черный</t>
  </si>
  <si>
    <t>1370 х 455 мм</t>
  </si>
  <si>
    <t>Универсальная накладка, кофе, терракотовый, зеленый, серый, красный, черный</t>
  </si>
  <si>
    <t>Лист плоский, другие цвета</t>
  </si>
  <si>
    <t>Универсальная накладка, другие цвета</t>
  </si>
  <si>
    <t>Конек полукпуглый одинарный, кофе, терракотовый, серый, зеленый, красный, черный</t>
  </si>
  <si>
    <t>L = 410 мм</t>
  </si>
  <si>
    <t>Полноразмерная черепица Aquapan и доборные элементы к ней</t>
  </si>
  <si>
    <t>Конек полукпуглый одинарный, другие цвета</t>
  </si>
  <si>
    <t>Лист Metrotile Aquapan (7х5 плиток), кофе, терракотовый, серый, красный</t>
  </si>
  <si>
    <t>1123 х 890 мм</t>
  </si>
  <si>
    <t>Конек полукруглый тройной, кофе, терракотовый, серый, зеленый, красный, черный</t>
  </si>
  <si>
    <t>L = 1140 мм</t>
  </si>
  <si>
    <t>Конек ребровой Aquapan, кофе, терракотовый, серый, красный</t>
  </si>
  <si>
    <t>905 мм</t>
  </si>
  <si>
    <t>Конек полукруглый тройной, другие цвета</t>
  </si>
  <si>
    <t>Заглушка конька ребрового Aquapan, кофе, терракотовый, серый, красный</t>
  </si>
  <si>
    <t>Конек ребровой, кофе, терракотовый, зеленый, серый, красный, черный (под заказ), ширина 130мм или 230 мм</t>
  </si>
  <si>
    <t>L = 1365/1355 мм</t>
  </si>
  <si>
    <t>Планка фронтонная Aquapan, кофе, терракотовый, серый, красный</t>
  </si>
  <si>
    <t>Конек ребровой, другие цвета (под заказ), ширина 130мм или 230 мм</t>
  </si>
  <si>
    <t>Крышка полукруглого конька, кофе, терракотовый, зеленый, серый, красный, черный</t>
  </si>
  <si>
    <t>Вентилятор кровельный (свой для каждого профиля), кофе, терракотовый, зеленый, серый, красный, черный</t>
  </si>
  <si>
    <t>Крышка полукруглого конька, другие цвета</t>
  </si>
  <si>
    <t>Вентилятор кровельный (свой для каждого профиля), другие цвета</t>
  </si>
  <si>
    <t>Наконечник полукруглого конька, кофе, терракотовый, зеленый, серый, красный, черный</t>
  </si>
  <si>
    <t>L = 300 мм</t>
  </si>
  <si>
    <t>Проходной элемент PELTI (под все профили кроме Romana)</t>
  </si>
  <si>
    <t>RR11, RR32, RR33, RR23, RR29, RR750</t>
  </si>
  <si>
    <t>Наконечник полукруглого конька, другие цвета</t>
  </si>
  <si>
    <t>Проходной элемент UNIVERSAL 2К  для профиля Romana</t>
  </si>
  <si>
    <t>Y-образный элемент коньковый, кофе, терракотовый, зеленый, серый, красный, черный</t>
  </si>
  <si>
    <t>Гранулы для ремкомплекта, кофе, терракотовый, зеленый, серый, красный, черный</t>
  </si>
  <si>
    <t>400 г</t>
  </si>
  <si>
    <t>Y-образный элемент коньковый, другие цвета</t>
  </si>
  <si>
    <t>Гранулы для ремкомплекта, другие цвета</t>
  </si>
  <si>
    <t>Т-образный элемент коньковый, кофе, терракотовый, зеленый, серый, красный, черный, (под заказ)</t>
  </si>
  <si>
    <t>L = 450 мм</t>
  </si>
  <si>
    <t>Краска для ремкомплекта</t>
  </si>
  <si>
    <t>200 г</t>
  </si>
  <si>
    <t>Т-образный коньковый элемент, другие цвета (под заказ)</t>
  </si>
  <si>
    <t>Гвозди, 5 кг, черный, красный</t>
  </si>
  <si>
    <t>1900 шт/уп</t>
  </si>
  <si>
    <t>уп</t>
  </si>
  <si>
    <t>Подконьковый элемент Romana, кофе, терракотовый, зеленый, серый, красный, черный</t>
  </si>
  <si>
    <t>Подконьковый элемент Romana, другие цвета</t>
  </si>
  <si>
    <t>Другие цвета - коралл, коричневый, бордо, красно-черный, рустик, пустыня, сланцевый, сланцево-серый, айрон-барк, кофейно-серый, бургундия, охра (желтый), темно-синий, темно-зеленый, цедар-браун, скарлет, викториан</t>
  </si>
  <si>
    <t>Позиции на складе поставщика в России MetroBond кофе (кроме Т-образный элемент коньковый, Y-образный элемент коньковый, заглушка фронтонной планки правая\левая, наконечник полукруглого конька), терракотовый; MetroRoman кофе, терракотовый; MetroShake 2 серый.
Остальные позиции привозятся под заказ из Бельгии, сроки уточняйте у менеджера.</t>
  </si>
  <si>
    <t>Добойник Mtile</t>
  </si>
  <si>
    <t>для дозабивания гвоздя при монтажа панели</t>
  </si>
  <si>
    <t>Зажим жестянщика ручной Mtile</t>
  </si>
  <si>
    <t>Черепица MetroBond 
кофе</t>
  </si>
  <si>
    <t>Черепица прочие листы</t>
  </si>
  <si>
    <t>Aquapan</t>
  </si>
  <si>
    <t>Цементно-песчаная черепица BRAAS</t>
  </si>
  <si>
    <t>Цены действительны с</t>
  </si>
  <si>
    <t>цены в рублях, частично пересчетом из евро по курсу:</t>
  </si>
  <si>
    <t>Франкфуртская</t>
  </si>
  <si>
    <t>Таунус</t>
  </si>
  <si>
    <t>Янтарь</t>
  </si>
  <si>
    <t>Адриа*/**</t>
  </si>
  <si>
    <t>Ревива*/**</t>
  </si>
  <si>
    <t>Тевива*/**</t>
  </si>
  <si>
    <t>серый</t>
  </si>
  <si>
    <t>вишня</t>
  </si>
  <si>
    <t>красный</t>
  </si>
  <si>
    <t>антик красный</t>
  </si>
  <si>
    <t>зеленый</t>
  </si>
  <si>
    <t>антик</t>
  </si>
  <si>
    <t>черный бриллиант</t>
  </si>
  <si>
    <t>графит</t>
  </si>
  <si>
    <t>** позиции поставляются под заказ, срок поставки составляет до 5 недель с момента оплаты</t>
  </si>
  <si>
    <t>Размер рядной церепицы моделей Франкфурдская, Туанус, Янтарь составляет 420х330мм, моделей Адриа, Ревива, Тевива - 420х333мм. Расход для всех моделей 10шт/кв.м.</t>
  </si>
  <si>
    <t>Керамическая черепица BRAAS</t>
  </si>
  <si>
    <t>цены в рублях, пересчетом из евро по курсу:</t>
  </si>
  <si>
    <t>Модель</t>
  </si>
  <si>
    <t>Расход, шт/кв.м</t>
  </si>
  <si>
    <t>натуральный</t>
  </si>
  <si>
    <t>ангоб</t>
  </si>
  <si>
    <t>глазурь</t>
  </si>
  <si>
    <t>топ-глазурь</t>
  </si>
  <si>
    <t>Рубин 9V</t>
  </si>
  <si>
    <t>Черепица рядовая, 472х313мм</t>
  </si>
  <si>
    <t>9,4-10,1</t>
  </si>
  <si>
    <t>Рубин 11V</t>
  </si>
  <si>
    <t>Черепица рядовая, 435х282мм</t>
  </si>
  <si>
    <t>11,5-12,7</t>
  </si>
  <si>
    <t>Рубин 13V</t>
  </si>
  <si>
    <t>Черепица рядовая, 435х257мм</t>
  </si>
  <si>
    <t>12,3-13,5</t>
  </si>
  <si>
    <t>Топаз 13V</t>
  </si>
  <si>
    <t>Черепица рядовая, 430х257мм</t>
  </si>
  <si>
    <t>12,8-14,4</t>
  </si>
  <si>
    <t>Гранат 11V</t>
  </si>
  <si>
    <t>Черепица рядовая, 448х268мм</t>
  </si>
  <si>
    <t>11,4-12,9</t>
  </si>
  <si>
    <t>Турмалин</t>
  </si>
  <si>
    <t>Черепица рядовая, 475х280мм</t>
  </si>
  <si>
    <t>11,0-11,7</t>
  </si>
  <si>
    <t>Изумруд</t>
  </si>
  <si>
    <t>Черепица рядовая, 475х443мм</t>
  </si>
  <si>
    <t>12,5-14,0</t>
  </si>
  <si>
    <t>Опал</t>
  </si>
  <si>
    <t>Черепица рядовая, 380х180мм</t>
  </si>
  <si>
    <t>33,7-38,3</t>
  </si>
  <si>
    <t>Агат 14</t>
  </si>
  <si>
    <t>Черепица рядовая, 442х260мм</t>
  </si>
  <si>
    <t>13,3-14,1</t>
  </si>
  <si>
    <t>Сапфир</t>
  </si>
  <si>
    <t>Черепица рядовая, 430х260мм</t>
  </si>
  <si>
    <t>14,4-14,6</t>
  </si>
  <si>
    <t>Галлеан</t>
  </si>
  <si>
    <t>Черепица рядовая, 473х317мм</t>
  </si>
  <si>
    <t>9,9-11,3</t>
  </si>
  <si>
    <t>Цементно-песчаная черепица BalticTile - Sea Wave</t>
  </si>
  <si>
    <t>цены в рублях</t>
  </si>
  <si>
    <t>серый не окр.</t>
  </si>
  <si>
    <t>красный не окр.</t>
  </si>
  <si>
    <t xml:space="preserve">Проходной элемент VILPE TIILI 2K </t>
  </si>
  <si>
    <t>Проходной элемент VILPE UNIVERSAL 2К</t>
  </si>
  <si>
    <t xml:space="preserve">цены действительны c </t>
  </si>
  <si>
    <t>Название элемента</t>
  </si>
  <si>
    <t>Изображение продукции</t>
  </si>
  <si>
    <t>Сопутствующие товары для водосточныой системы</t>
  </si>
  <si>
    <t>Система 125*90мм</t>
  </si>
  <si>
    <t>Система 150*100мм</t>
  </si>
  <si>
    <t>ед.изм</t>
  </si>
  <si>
    <t>цена, руб.</t>
  </si>
  <si>
    <t>AlZn</t>
  </si>
  <si>
    <t>Granite</t>
  </si>
  <si>
    <t>Полукруглый желоб 3м</t>
  </si>
  <si>
    <t>Клещи "Гофра" прямые усиленные</t>
  </si>
  <si>
    <t>Соединитель желоба</t>
  </si>
  <si>
    <t>Заглушка желоба</t>
  </si>
  <si>
    <t>Угол желоба, внутр./внешн. 90º</t>
  </si>
  <si>
    <t>Угол желоба, внутр./внешн., 135º</t>
  </si>
  <si>
    <t>Воронка желоба</t>
  </si>
  <si>
    <t xml:space="preserve">Водосток с полимерным покрытием представлен в следующих цветах:   </t>
  </si>
  <si>
    <t xml:space="preserve">Воронка водосборная </t>
  </si>
  <si>
    <r>
      <rPr>
        <b/>
        <sz val="10"/>
        <rFont val="Arial Cyr"/>
        <charset val="204"/>
      </rPr>
      <t>диаметр 125/90</t>
    </r>
    <r>
      <rPr>
        <sz val="10"/>
        <rFont val="Arial Cyr"/>
        <charset val="204"/>
      </rPr>
      <t xml:space="preserve"> - RAL 9005, RAL 9003, RAL 8017, RAL 8004, RAL 7024, RAL 6005, RAL 3011, RAL 3005, RR 29, RR 32, RR 11, AlZn;</t>
    </r>
  </si>
  <si>
    <t>Крюк длинный</t>
  </si>
  <si>
    <r>
      <rPr>
        <b/>
        <sz val="10"/>
        <rFont val="Arial Cyr"/>
        <charset val="204"/>
      </rPr>
      <t>диаметр 150/100</t>
    </r>
    <r>
      <rPr>
        <sz val="10"/>
        <rFont val="Arial Cyr"/>
        <charset val="204"/>
      </rPr>
      <t xml:space="preserve"> - RAL 9003, RAL 8017, RR 32</t>
    </r>
  </si>
  <si>
    <t>Крюк короткий</t>
  </si>
  <si>
    <t>Крюк длинный из стальной полосы</t>
  </si>
  <si>
    <t xml:space="preserve">Водосточная система Grand Line® изготовлена из оцинкованной стали с двухсторонним полимерным покрытием Granite и покрытием Aluzinc. 
</t>
  </si>
  <si>
    <t>Крюк короткий из стальной полосы</t>
  </si>
  <si>
    <t>Тройник трубы</t>
  </si>
  <si>
    <t>Круглая труба 3м</t>
  </si>
  <si>
    <t>Круглая труба соединит. 1м</t>
  </si>
  <si>
    <t>Колено трубы, 60º</t>
  </si>
  <si>
    <t>Колено стока</t>
  </si>
  <si>
    <t>Кронштейн трубы на кирпич
(в комплекте шпилька-саморез + дюбель)</t>
  </si>
  <si>
    <t>Кронштейн трубы на дерево
(саморезы в комплект не входят)</t>
  </si>
  <si>
    <t xml:space="preserve">Соединитель трубы </t>
  </si>
  <si>
    <t>Защелка для кронштейна</t>
  </si>
  <si>
    <t>Резиновый уплотнитель (30 шт/упак)</t>
  </si>
  <si>
    <t>125*90 мм 
Aluzinc</t>
  </si>
  <si>
    <t>125*90 мм 
Granite</t>
  </si>
  <si>
    <t>150*100 мм 
Granite</t>
  </si>
  <si>
    <t>Резиновый уплотнитель</t>
  </si>
  <si>
    <t>1.13. Водосток OPTIMA прямоугольного сечения</t>
  </si>
  <si>
    <t>1.13. Водосток OPTIMA круглого сечения 125/90 NEW</t>
  </si>
  <si>
    <t xml:space="preserve"> Наименование</t>
  </si>
  <si>
    <t>Прежняя цена, руб./шт.</t>
  </si>
  <si>
    <t>Цена, руб./шт.</t>
  </si>
  <si>
    <t>Прямоугольный желоб,  2,5м</t>
  </si>
  <si>
    <t>полиэстер</t>
  </si>
  <si>
    <t>Желоб полукруглый 3м</t>
  </si>
  <si>
    <t>полиэстер двусторонний</t>
  </si>
  <si>
    <t>Прямоугольный желоб,  3м</t>
  </si>
  <si>
    <t>Заглушка желоба, левая, правая</t>
  </si>
  <si>
    <t>Угол желоба внутренний, 90 градусов</t>
  </si>
  <si>
    <r>
      <t>Угол желоба внутренний 90</t>
    </r>
    <r>
      <rPr>
        <vertAlign val="superscript"/>
        <sz val="10"/>
        <rFont val="Arial Cyr"/>
        <charset val="204"/>
      </rPr>
      <t>°</t>
    </r>
  </si>
  <si>
    <t>Угол желоба внешний, 90 градусов</t>
  </si>
  <si>
    <r>
      <t>Угол желоба внешний 90</t>
    </r>
    <r>
      <rPr>
        <vertAlign val="superscript"/>
        <sz val="10"/>
        <rFont val="Arial Cyr"/>
        <charset val="204"/>
      </rPr>
      <t>°</t>
    </r>
  </si>
  <si>
    <t>Воронка врезная</t>
  </si>
  <si>
    <t xml:space="preserve">Крюк длинный </t>
  </si>
  <si>
    <t>Крюк длинный полоса</t>
  </si>
  <si>
    <t>Крюк короткий полоса</t>
  </si>
  <si>
    <t>Крюк скрытого крепления</t>
  </si>
  <si>
    <t>цинк</t>
  </si>
  <si>
    <t xml:space="preserve">Прямоугольная труба, 1м </t>
  </si>
  <si>
    <t>Труба круглая 1м, Ø 90 мм</t>
  </si>
  <si>
    <r>
      <t xml:space="preserve">Прямоугольная труба, 2м </t>
    </r>
    <r>
      <rPr>
        <b/>
        <sz val="10"/>
        <color indexed="10"/>
        <rFont val="Arial Cyr"/>
        <charset val="204"/>
      </rPr>
      <t>NEW</t>
    </r>
  </si>
  <si>
    <t>Прямоугольная труба, 2,5м</t>
  </si>
  <si>
    <t>Труба круглая 3м, Ø 90 мм</t>
  </si>
  <si>
    <t>Прямоугольная труба, 3м</t>
  </si>
  <si>
    <t>Прямоугольная труба, 1м с коленом</t>
  </si>
  <si>
    <r>
      <t>Колено трубы 60</t>
    </r>
    <r>
      <rPr>
        <vertAlign val="superscript"/>
        <sz val="10"/>
        <rFont val="Arial Cyr"/>
        <charset val="204"/>
      </rPr>
      <t>°</t>
    </r>
  </si>
  <si>
    <t>Прямоугольная труба, 3м с коленом</t>
  </si>
  <si>
    <t>Колено трубы гофрированное</t>
  </si>
  <si>
    <t>Кронштейн трубы на дерево
(в комплект саморезы не входят)</t>
  </si>
  <si>
    <t>Сопутствующие товары для водосточных систем</t>
  </si>
  <si>
    <t>Ед.изм</t>
  </si>
  <si>
    <t>Клещи "Гофра" прямые усиленные EDMA</t>
  </si>
  <si>
    <t>Водосток Optima прямоугольного сечения представлен в следующих цветах:  RAL 9003 (белый), RAL 8017 (коричневый), RR 32 (темно-коричневый), RAL 3005 (красный), RAL 6005 (зеленый)</t>
  </si>
  <si>
    <t>Водосток Optima круглогосечения представлен в следующих цветах: RAL 8017 (коричневый), RAL 9003 (белый)</t>
  </si>
  <si>
    <t>Металлический водосток Optima прямоугольного сечения</t>
  </si>
  <si>
    <t>Металлический водосток Optima круглого сечения</t>
  </si>
  <si>
    <t>1.14. Пластиковый водосток Grand Line Standart круглого сечения 120/87 NEW</t>
  </si>
  <si>
    <t>Цена, 
руб./шт.</t>
  </si>
  <si>
    <t>Желоб ПВХ  Grand Line стандарт 3м</t>
  </si>
  <si>
    <t xml:space="preserve">Соединитель желобов  ПВХ  Grand Line стандарт </t>
  </si>
  <si>
    <t xml:space="preserve">Муфта трубы соединительная  ПВХ  Grand Line стандарт </t>
  </si>
  <si>
    <t xml:space="preserve">Заглушка желоба универсальная  ПВХ  Grand Line стандарт </t>
  </si>
  <si>
    <t xml:space="preserve">Колено трубы 45°  ПВХ  Grand Line стандарт </t>
  </si>
  <si>
    <t xml:space="preserve">Угол желоба 90° универсальный  ПВХ  Grand Line стандарт </t>
  </si>
  <si>
    <t xml:space="preserve">Колено сливное  ПВХ  Grand Line стандарт </t>
  </si>
  <si>
    <t>Воронка ПВХ Grand Line стандарт</t>
  </si>
  <si>
    <t xml:space="preserve">Кронштейн желоба  ПВХ  Grand Line стандарт </t>
  </si>
  <si>
    <t xml:space="preserve">Хомут трубы ПВХ  Grand Line стандарт </t>
  </si>
  <si>
    <t>Удлинитель кронштейна желоба металлический</t>
  </si>
  <si>
    <t>Металлический</t>
  </si>
  <si>
    <t xml:space="preserve">шт. </t>
  </si>
  <si>
    <t>Уплотнитель резиновый</t>
  </si>
  <si>
    <t xml:space="preserve">Пластиковый водосток Grand Line Standart </t>
  </si>
  <si>
    <t>1.15. Элементы безопасности кровли Grand Line®</t>
  </si>
  <si>
    <t>Изображение</t>
  </si>
  <si>
    <t>Комплект</t>
  </si>
  <si>
    <t>Вес комплекта, кг</t>
  </si>
  <si>
    <t>Цена (цвета на складе), руб.</t>
  </si>
  <si>
    <t>Цена (цвета под заказ), руб.</t>
  </si>
  <si>
    <t>Труба для снегозадержателя Grand Line овальная 42*21 Zn/RAL  3,0 м - 2 шт 
Кронштейн универсальный Grand Line Zn/RAL - 4 шт
Саморез 8х60 - 8 шт
Резиновый уплотнитель ЭПДМ - 16 шт</t>
  </si>
  <si>
    <t xml:space="preserve">Болт М8х35 - 2 шт
Шайба А.8 - 2 шт
Гайка М8-7Н - 2 шт  </t>
  </si>
  <si>
    <t xml:space="preserve">Полотно лестницы Grand Line 3,0 м - 1 шт
Дуговой поручень  - 2 шт
Кронштейн стеновой 1,0 м - 4 шт                                                                                                                                                                                                               Соединительная накладка - 8 шт                                                                                                                                                                                                                                Кронштейн карнизный - 2 шт 
L-кронштейн крепления к кровле  - 2 шт                                                                                                                                                                                     </t>
  </si>
  <si>
    <t xml:space="preserve">U-кронштейн крепления к кровельной лестнице  - 2 шт
Болт М8х20 - 12 шт
Болт М8х35 - 12 шт 
Гайка М8 - 24 шт 
Шайба А.8 - 24 шт   </t>
  </si>
  <si>
    <t>Труба для снегозадержателя Grand Line овал. Zn/RAL 42х21 3,0 м - 2 шт 
Кронштейн универсальный Grand Line Zn/RAL - 3 шт
Скоба кронштейна для фальцевой кровли RAL - 12 шт
Болт М8х35 - 14 шт</t>
  </si>
  <si>
    <t xml:space="preserve">Шайба А.8 - 14 шт
Шайба А.8 увеличенная - 12 шт
Гайка М8-7Н - 14 шт </t>
  </si>
  <si>
    <t xml:space="preserve">Полотно лестницы Grand Line </t>
  </si>
  <si>
    <t>Полотно лестницы Grand Line Zn/RAL 3,0 м - 1 шт
Болт М8х35 - 2 шт</t>
  </si>
  <si>
    <t>Гайка М8 - 2 шт                                                                                                                          Шайба А.8 - 2шт.</t>
  </si>
  <si>
    <t>Труба для снегозадержателя Grand Line овальная 42*21 Zn/RAL 1,0 м - 2 шт 
Кронштейн универсальный Grand Line Zn/RAL - 2 шт
Саморез 8х60 - 4 шт
Резиновый уплотнитель ЭПДМ - 8 шт</t>
  </si>
  <si>
    <t>Дуговой поручень  Grand Line</t>
  </si>
  <si>
    <t>Дуговой поручень  Zn/RAL - 1 шт</t>
  </si>
  <si>
    <t>Труба для снегозадержателя Grand Line овал.  Zn/RAL 42*21 1,0 м - 2 шт 
Кронштейн универсальный Grand Line Zn/RAL- 2 шт
Скоба кронштейна для фальцевой кровли RAL - 8 шт
Болт М8х35 - 10 шт</t>
  </si>
  <si>
    <t>Шайба А.8 - 10 шт
Шайба А.8 увеличенная - 8 шт
Гайка М8-7Н - 10 шт</t>
  </si>
  <si>
    <t>Кронштейн стеновой                        Grand Line</t>
  </si>
  <si>
    <t>Кронштейн стеновой  Zn/RAL 1,0 м - 1 шт
Соединительная накладка Zn/RAL  - 2 шт
Болт М8х20 - 3 шт</t>
  </si>
  <si>
    <t xml:space="preserve">Болт М8х35 - 1 шт
Гайка М8 - 4 шт                                                                                                                                  Шайба А.8 - 4 шт </t>
  </si>
  <si>
    <t>Кронштейн универсальный Grand Line</t>
  </si>
  <si>
    <t>Кронштейн снегозадержателя универсальный  Zn//RAL - 1 шт
Саморез 8х60 - 2 шт
Резиновый уплотнитель ЭПДМ - 4 шт</t>
  </si>
  <si>
    <t>Кронштейн карнизный                           Grand Line</t>
  </si>
  <si>
    <t>Кронштейн карнизный  Zn/RAL - 1 шт
Болт М8х35 - 1 шт</t>
  </si>
  <si>
    <t>Гайка М8 - 1 шт                                                                                                                          Шайба А.8 - 1 шт</t>
  </si>
  <si>
    <t>Кронштейн универсальный Grand Line для фальцевой кровли</t>
  </si>
  <si>
    <t>Кронштейн снегозадержателя универсальный  Zn/RAL - 1 шт
Скоба кронштейна для фальцевой кровли  RAL - 4 шт
Болт М8х35 - 4 шт</t>
  </si>
  <si>
    <t>Шайба А.8 - 4 шт
Шайба А.8 увеличенная - 4 шт
Гайка М8-7Н - 4 шт</t>
  </si>
  <si>
    <t xml:space="preserve">L-кронштейн Grand Line </t>
  </si>
  <si>
    <t>L-кронштейн крепления к кровле  Zn/RAL - 1 шт
Болт М8х35 - 1 шт</t>
  </si>
  <si>
    <t>Гайка М8 - 1 шт                                                                                                                       Шайба А.8 - 1 шт</t>
  </si>
  <si>
    <t>Крепление кронштейна для фальцевой кровли Grand Line</t>
  </si>
  <si>
    <t>Скоба кронштейна для фальцевой кровли RAL - 4 шт
Болт М8х35 - 4 шт
Шайба А.8 - 4 шт</t>
  </si>
  <si>
    <t>Шайба А.8 увеличенная - 4 шт
Гайка М8-7Н - 4 шт</t>
  </si>
  <si>
    <t xml:space="preserve">U-кронштейн                                   Grand Line </t>
  </si>
  <si>
    <t>U-кронштейн крепления к кровельной лестнице Zn/RAL - 1 шт
Болт М8х35 - 1 шт</t>
  </si>
  <si>
    <t>Гайка М8 - 1 шт                                                                                                                             Шайба А.8 - 1 шт</t>
  </si>
  <si>
    <t>Уплотнитель ЭПДМ</t>
  </si>
  <si>
    <t>Резиновый уплотнитель ЭПДМ - 1 шт</t>
  </si>
  <si>
    <t>Саморез 8х80 мм
"глухарь"</t>
  </si>
  <si>
    <t>Саморез 8х80 мм "глухарь" - 1 шт</t>
  </si>
  <si>
    <t xml:space="preserve">Шайба 8Г - 15 шт 
Шайба А.8 - 15 шт
Резиновый уплотнитель ЭПДМ - 12 шт </t>
  </si>
  <si>
    <t xml:space="preserve">Шайба 8Г - 10 шт
Шайба А.8 -10 шт
Резиновый уплотнитель ЭПДМ - 8 шт </t>
  </si>
  <si>
    <t>Полотно мостика переходного Grand Line Zn/RAL 3,0 м - 1 шт
Кронштейн универсальный Grand Line Zn/RAL - 6 шт
Скоба кронштейна для фальцевой кровли RAL - 12 шт
Болт М8х20 - 15 шт
Болт М8х35 - 12 шт</t>
  </si>
  <si>
    <t>Гайка М8 - 27 шт 
Шайба 8Г - 27 шт
Шайба А.8 - 27 шт
Шайба А.8 увеличенная - 12 шт</t>
  </si>
  <si>
    <t>Полотно мостика переходного Grand Line Zn/RAL 1,0 м - 1 шт
Кронштейн универсальный Grand Line Zn/RAL - 4 шт
Скоба кронштейна для фальцевой кровли RAL - 8 шт
Болт М8х20 - 10 шт
Болт М8х35 - 8 шт</t>
  </si>
  <si>
    <t xml:space="preserve">Гайка М8 - 18 шт
Шайба 8Г - 18 шт
Шайба А.8 - 18 шт 
Шайба А.8 увеличенная - 8 шт </t>
  </si>
  <si>
    <t>Гайка М8 - 7 шт
Шайба А.8 - 7 шт
EPDM резиновый уплотнитель - 16 шт
Саморез 8х60 - 8 шт
Саморез кровельный 5,5х19 - 11 шт</t>
  </si>
  <si>
    <t xml:space="preserve">Полотно мостика переходного Grand Line Zn/RAL 3,0 м - 1 шт   </t>
  </si>
  <si>
    <t>Гайка М8 - 9 шт
Шайба А.8 - 9 шт
EPDM резиновый уплотнитель - 16 шт
Саморез 8х60 - 8 шт
Саморез кровельный 5,5х19 - 11 шт</t>
  </si>
  <si>
    <t xml:space="preserve">Полотно мостика переходного Grand Line Zn/RAL 1,0 м - 1 шт   </t>
  </si>
  <si>
    <t>Кронштейн мостика переходного 
Grand Line</t>
  </si>
  <si>
    <t>Кронштейн универсальный Grand Line Zn/RAL - 2 шт
Саморез 8х60 - 2 шт
Резиновый уплотнитель ЭПДМ - 4 шт
Болт М8х20 - 5 шт</t>
  </si>
  <si>
    <t>Шайба 8Г - 5 шт
Шайба А.8 - 5 шт
Гайка М8-7Н - 5 шт</t>
  </si>
  <si>
    <t>Болт М8х20 - 4 шт
Болт М8х35 - 19 шт
Гайка М8 - 23 шт
Шайба А.8 - 23 шт
Шайба А.8 увеличенная - 16 шт
Саморез кровельный 5,5х19 - 11 шт</t>
  </si>
  <si>
    <t>Кронштейн мостика переходного 
Grand Line 
для фальцевой кровли</t>
  </si>
  <si>
    <t>Кронштейн универсальный Grand Line Zn/RAL - 2 шт
Скоба кронштейна для фальцевой кровли RAL - 4 шт
Болт М8х20 - 5 шт
Болт М8х35 - 4 шт</t>
  </si>
  <si>
    <t>Шайба 8Г - 5 шт
Шайба А.8 - 9 шт
Шайба А.8 увеличенная - 4 шт
Гайка М8-7Н - 9 шт</t>
  </si>
  <si>
    <t>Болт М8х20 - 4 шт
Болт М8х35 - 21 шт
Гайка М8 - 25 шт
Шайба А.8 - 25 шт
Шайба А.8 увеличенная - 16 шт
Саморез кровельный 5,5х19 - 11 шт</t>
  </si>
  <si>
    <t xml:space="preserve">Полотно лесницы Grand Line Zn/RAL 3,0 м - 1 шт
Кронштейн опорный - 10 шт
Кронштейн коньковый Zn/RAL 2 шт   </t>
  </si>
  <si>
    <t>Болт М8х35 - 4 шт 
Гайка М8 - 4 шт    
Шайба А.8 – 4 шт</t>
  </si>
  <si>
    <t>Полотно лесницы Grand Line Zn/RAL 3,0 м - 1 шт
Болт М8х35 - 2 шт</t>
  </si>
  <si>
    <t>Гайка М8 - 2 шт
Шайба А.8 – 2 шт</t>
  </si>
  <si>
    <t>Кронштейн опорный для лестницы - 1 шт
Саморез - 1 шт</t>
  </si>
  <si>
    <t>Кронштейн коньковый                       Grand Line</t>
  </si>
  <si>
    <t>Кронштейн коньковый Zn/RAL - 1 шт
Болт М8х35 - 1 шт</t>
  </si>
  <si>
    <t>Гайка М8 - 1 шт
Шайба А.8 – 1 шт</t>
  </si>
  <si>
    <t>Металлическая ножка (опора) - 2 шт
Саморез кровельный 4,8*29 - 4 шт
Болт М8*35 - 2 шт</t>
  </si>
  <si>
    <t>Гайка М8 - 2 шт
Шайба А.8 – 2 шт
Резиновый уплотнитель ЭПДМ - 6 шт</t>
  </si>
  <si>
    <t>Элементы безопасности кровли Grand Line®</t>
  </si>
  <si>
    <t>Снегозадержатели и кровельные ограждения</t>
  </si>
  <si>
    <t>Лестницы (кровельные и фасадные) и мостики кровельные (переходные)</t>
  </si>
  <si>
    <t>Снегозадержатель трубчатый универсальный Optima 3 м</t>
  </si>
  <si>
    <t>Труба для снегозадержателя универсального Optima RAL  3 м  - 2 шт 
Кронштейн снегозадержателя универсальный Zn//RAL - 3 шт
Саморез 8х60 - 6 шт
Резиновый уплотнитель ЭПДМ - 12 шт
Заглушка D 25 - 4 шт</t>
  </si>
  <si>
    <t>Полотно лестницы 1,92 м</t>
  </si>
  <si>
    <t>Полотно лестницы - 1 шт
Болт М8х20 - 2 шт
Гайка М8-6Н - 2 шт
Шайба А.8 - 2 шт</t>
  </si>
  <si>
    <r>
      <t xml:space="preserve">Снегозадержатель трубчатый для фальцевой кровли Optima 3 м
</t>
    </r>
    <r>
      <rPr>
        <sz val="10"/>
        <color indexed="10"/>
        <rFont val="Arial Cyr"/>
        <charset val="204"/>
      </rPr>
      <t>(Внимание! Только для левого загиба фальцевого шва (при взгляде от конька))</t>
    </r>
  </si>
  <si>
    <r>
      <t xml:space="preserve">Труба для снегозадержателя универсального Optima RAL d-25 3 м - 2 шт 
Кронштейн снегозадержателя универсальный Zn//RAL - 3 шт
</t>
    </r>
    <r>
      <rPr>
        <sz val="10"/>
        <color indexed="10"/>
        <rFont val="Arial Cyr"/>
        <charset val="204"/>
      </rPr>
      <t>(рекомендуем приобретать дополнительные кронштейны)</t>
    </r>
    <r>
      <rPr>
        <sz val="10"/>
        <color indexed="8"/>
        <rFont val="Arial Cyr"/>
        <charset val="204"/>
      </rPr>
      <t xml:space="preserve">
Заглушка D 25 - 4 шт </t>
    </r>
  </si>
  <si>
    <t xml:space="preserve">Скоба кронштейна для фальцевой кровли  RAL - 6 шт
Болт М8х35 + Гайка М8-7Н - 6 шт
Шайба А.8 - 12 шт </t>
  </si>
  <si>
    <t>Кронштейн стеновой</t>
  </si>
  <si>
    <t>Снегозадержатель трубчатый универсальный Optima 1 м</t>
  </si>
  <si>
    <t>Труба для снегозадержателя универсального Optima RAL 1 м  - 2 шт 
Кронштейн снегозадержателя универсальный Zn//RAL - 2 шт
Саморез 8х60 - 4 шт
Резиновый уплотнитель ЭПДМ - 8 шт
Заглушка D 25 - 4 шт</t>
  </si>
  <si>
    <t>Кронштейн кровельный</t>
  </si>
  <si>
    <t>Кронштейн кровельный - 1 шт
Саморез 6,3х150 DIN 7504 - 1 шт
Резиновый уплотнитель ЭПДМ - 1 шт</t>
  </si>
  <si>
    <r>
      <t xml:space="preserve">Снегозадержатель трубчатый для фальцевой кровли Optima 1 м
</t>
    </r>
    <r>
      <rPr>
        <sz val="10"/>
        <color indexed="10"/>
        <rFont val="Arial Cyr"/>
        <charset val="204"/>
      </rPr>
      <t xml:space="preserve">(Внимание! Только для </t>
    </r>
    <r>
      <rPr>
        <u/>
        <sz val="10"/>
        <color indexed="10"/>
        <rFont val="Arial Cyr"/>
        <charset val="204"/>
      </rPr>
      <t>левого</t>
    </r>
    <r>
      <rPr>
        <sz val="10"/>
        <color indexed="10"/>
        <rFont val="Arial Cyr"/>
        <charset val="204"/>
      </rPr>
      <t xml:space="preserve"> загиба фальцевого шва (при взгляде от конька))</t>
    </r>
  </si>
  <si>
    <t>Труба для снегозадержателя универсального Optima RAL d-25 1 м - 2 шт 
Кронштейн снегозадержателя универсальный Zn//RAL - 2 шт
Заглушка D 25 - 4 шт</t>
  </si>
  <si>
    <t>Скоба кронштейна для фальцевой кровли  RAL - 4 шт
Болт М8х35 + Гайка М8-7Н - 4 шт
Шайба А.8 - 8 шт</t>
  </si>
  <si>
    <t>Кронштейн карнизный</t>
  </si>
  <si>
    <t>Труба плоскоовальная оцинкованная RAL 45*25 мм, 3 м - 2 шт 
Кронштейн снегозадержателя оцинкованный RAL - 4 шт
Крепеж в комплект не входит</t>
  </si>
  <si>
    <t>Кронштейн коньковый</t>
  </si>
  <si>
    <t>Кронштейн коньковый - 1 шт
Болт М8х20 - 1 шт</t>
  </si>
  <si>
    <t>Гайка М8-6Н - 1 шт
Шайба А.8 - 1 шт</t>
  </si>
  <si>
    <t>Поручень</t>
  </si>
  <si>
    <t>Поручень - 1 шт
П-кронштейн - 1 шт
Болт М8х35 - 2 шт</t>
  </si>
  <si>
    <t>Гайка М8-6Н - 2 шт
Шайба А.8 - 2 шт</t>
  </si>
  <si>
    <t>Труба плоскоовальная оцинкованная RAL 45*25 мм, 1 м - 2 шт 
Кронштейн снегозадержателя оцинкованный RAL - 2 шт
Крепеж в комплект не входит</t>
  </si>
  <si>
    <t>Лестница кровельная на фальц с креплением (дл. 1920 мм)**</t>
  </si>
  <si>
    <t>Кровельный (переходной) 
мостик 1,25 м*</t>
  </si>
  <si>
    <t>Панель мостика - 1 шт
Опора треугольная - 2 шт
Кронштейн несущий - 2 шт
Болт 8 х 60 для монтажа к кровле - 4 шт</t>
  </si>
  <si>
    <t>Прокладки резиновые - 6 шт
Болт сборочный 8 х 35 - 8 шт
Гайка - 8 шт
Шайба - 16 шт</t>
  </si>
  <si>
    <t>Снегозадержатель ZN-1 шт</t>
  </si>
  <si>
    <t>Кронштейн снегозадержателя универсальный Optima</t>
  </si>
  <si>
    <t>Кровельный (переходной) 
мостик 2,5 м*</t>
  </si>
  <si>
    <t>Панель мостика - 1 шт
Опора треугольная - 3 шт
Кронштейн несущий - 3 шт
Болт 8 х 60 для монтажа к кровле - 6 шт</t>
  </si>
  <si>
    <t>Прокладки резиновые - 9 шт
Болт сборочный 8х35 - 12 шт
Гайка - 12 шт Шайба - 24 шт</t>
  </si>
  <si>
    <t>Кронштейн снегозадержателя для фальцевой кровли Optima</t>
  </si>
  <si>
    <t>Кровельный (переходной) мостик 1,25 м (для фальцевой кровли)*</t>
  </si>
  <si>
    <t xml:space="preserve">Полотно мостика переходного 1,25 м - 1 шт
Опора треугольная - 2 шт
Кронштейн несущий - 2 шт                                                                                                                                                                                                                                                                                                                                                                                                                                                                                                   </t>
  </si>
  <si>
    <t xml:space="preserve">Планка прижимная - 2 шт. Болт для сборки 8*35-8 шт                                                                                                                                                                                                                                   Гайка М8 -  8 шт         
Шайба 8Г - 16 шт      </t>
  </si>
  <si>
    <t>Кровельный (переходной) мостик 2,5 м (для фальцевой кровли)*</t>
  </si>
  <si>
    <t xml:space="preserve">Полотно мостика переходного 2,5 м - 1 шт
Опора треугольная - 3 шт
Кронштейн несущий - 3 шт                                                                                                                                                                                                             </t>
  </si>
  <si>
    <t xml:space="preserve">Планка прижимная - 3 шт  
Болт для сборки 8*35 - 12 шт                                                                                                                                                                                                                                   Гайка М8 -  12 шт         
Шайба 8Г - 24 шт                                                                                                                                                                                                                                                 </t>
  </si>
  <si>
    <t>Крепление кронштейна для фальцевой кровли Optima</t>
  </si>
  <si>
    <t>Скоба кронштейна для фальцевой кровли  RAL - 2 шт
Болт М8х20 - 2 шт</t>
  </si>
  <si>
    <t xml:space="preserve">Шайба А.8 - 4 шт
Гайка М8-7Н - 2 шт  </t>
  </si>
  <si>
    <t>Ограждение кровельное 
Optima 650х (2,0 м)**</t>
  </si>
  <si>
    <t>Труба с обжимкой d 25, RAL 2,0 м - 2 шт                                                           
Опора  Zn/RAL - 2 шт
Стойка  Zn/RAL - 2 шт                                                                                                                                                                                            Раскос  Zn/RAL - 2 шт
Болт М8х20 - 6 шт</t>
  </si>
  <si>
    <t xml:space="preserve">Гайка М8-7Н - 6 шт                                                                                                                                                                                                                                              Шайба А.8 - 6 шт
Саморез 8х60 DIN - 4 шт
Резиновый уплотнитель ЭПДМ - 8 шт </t>
  </si>
  <si>
    <r>
      <t xml:space="preserve">Мостик переходной для композитной черепицы 1,25 м* </t>
    </r>
    <r>
      <rPr>
        <b/>
        <sz val="10"/>
        <color indexed="10"/>
        <rFont val="Arial Cyr"/>
        <charset val="204"/>
      </rPr>
      <t>NEW</t>
    </r>
  </si>
  <si>
    <t xml:space="preserve">Полотно мостика переходного 1,25 м - 1 шт
Опора - 2 шт
Кронштейн несущий - 2 шт                                                                                                                                                                                                             </t>
  </si>
  <si>
    <t xml:space="preserve">Болт для сборки 8*35 - 10 шт                                                                                                                                                                                                                                                                                                                                                                                                                                                                                </t>
  </si>
  <si>
    <t>Ограждение кровельное 
под фальц 650х (2,0 м)**</t>
  </si>
  <si>
    <t>Труба с обжимкой d 25, RAL 2,0 м - 2 шт
Опора  Zn/RAL - 2 шт
Крепление кронштейна для фальцевой кровли  RAL - 6 шт
Стойка  Zn/RAL - 2 шт</t>
  </si>
  <si>
    <t>Раскос  Zn/RAL - 2 шт
Болт М8х20 - 6 шт
Болт М8х35 - 6 шт
Гайка М8-7Н - 12 шт
Шайба А.8 - 18 шт</t>
  </si>
  <si>
    <r>
      <t xml:space="preserve">Мостик переходной для композитной черепицы 2,5 м* </t>
    </r>
    <r>
      <rPr>
        <b/>
        <sz val="10"/>
        <color indexed="10"/>
        <rFont val="Arial Cyr"/>
        <charset val="204"/>
      </rPr>
      <t>NEW</t>
    </r>
  </si>
  <si>
    <t xml:space="preserve">Полотно мостика переходного 1,25 м - 1 шт
Опора - 3 шт
Кронштейн несущий - 3 шт                                                                                                                                                                                                             </t>
  </si>
  <si>
    <t xml:space="preserve">Болт для сборки 8*35 - 15 шт                                                                                                                                                                                                                                                                                                                                                                                                                                                                                 </t>
  </si>
  <si>
    <t>Ограждение кровельное
со снегозадержанием 
Optima 650х (2,0 м)**</t>
  </si>
  <si>
    <t>Труба с обжимкой d 25, RAL 2,0 м - 4 шт                                                           
Опора  Zn/RAL - 2 шт
Стойка  Zn/RAL - 2 шт     
Раскос  Zn/RAL - 2 шт                                                                                                                                                                                                                         
Болт М8х20 - 6 шт</t>
  </si>
  <si>
    <t xml:space="preserve">Шайба А.8 - 6 шт
Гайка М8-7Н - 6 шт                                                                                                                                                                                                                                             
Саморез 8х60 DIN - 4 шт
Резиновый уплотнитель ЭПДМ - 8 шт </t>
  </si>
  <si>
    <t>Ограждение кровельное
со снегозадержанием 
под фальц 650х (2,0 м)**</t>
  </si>
  <si>
    <t xml:space="preserve">Труба с обжимкой d 25, RAL 2,0 м - 4 шт                                                           
Опора  Zn/RAL - 2 шт
Крепление кронштейна для фальцевой кровли  RAL - 6 шт
Стойка  Zn/RAL - 2 шт     </t>
  </si>
  <si>
    <t>Раскос  Zn/RAL - 2 шт                                                                                                                                                                                                                         
Болт М8х20 - 6 шт
Болт М8х35 - 6 шт
Гайка М8-7Н - 12 шт
Шайба А.8 - 18 шт</t>
  </si>
  <si>
    <t>К лестнице стеновой применяются кронштейны стеновые, подвесные, поручни.
К лестнице кровельной применяются кронштейны кровельные и коньковые.
Максимальная высота кровельного полотна для установки снегозадержателей и кровельных ограждений – 80 мм (выше ПН 75)</t>
  </si>
  <si>
    <t>Цвета универсальных снегозадержателей Optima на складе: RAL 3003,3005,3009,3011,5005,6005,6020,7004,7024,8004,8017,8019,9005,9006.</t>
  </si>
  <si>
    <t>Цвета универсальных снегозадержателей Optima по цене складских (производятся под заказ): RAL 9003, RR 29,32</t>
  </si>
  <si>
    <t>* - на складе не поддерживается, на заказ</t>
  </si>
  <si>
    <t>Цвета кровельных ограждений 650 Optima на складе: RAL 3005, 6005, 8017.</t>
  </si>
  <si>
    <t>** - под заказ! Возможное изготовление кров. ограждения высотой 0,9 м; 1,2 м.</t>
  </si>
  <si>
    <t>Цвета снегозадержателей и кронштейнов для фальцевой кровли, доступные для заказа, уточняйте у вашего менеджера.</t>
  </si>
  <si>
    <t>Все цены указаны с НДС на складе завода Grand Line®</t>
  </si>
  <si>
    <t>Снегозадержатели</t>
  </si>
  <si>
    <t>Кровельные ограждения</t>
  </si>
  <si>
    <t>Кровельные мостики</t>
  </si>
  <si>
    <t>Лестницы</t>
  </si>
  <si>
    <t>цены действительны c</t>
  </si>
  <si>
    <t>Тип кровли</t>
  </si>
  <si>
    <t>Способ установки</t>
  </si>
  <si>
    <t>Цена руб./ шт.</t>
  </si>
  <si>
    <t>Р - вентиляторы</t>
  </si>
  <si>
    <r>
      <t xml:space="preserve">MUOTOKATE </t>
    </r>
    <r>
      <rPr>
        <sz val="10"/>
        <color indexed="8"/>
        <rFont val="Arial Cyr"/>
        <charset val="204"/>
      </rPr>
      <t xml:space="preserve">- для труб Ø 110-160 мм (герметик и уплотнитель гидрозатвора входят в комплект) </t>
    </r>
  </si>
  <si>
    <t>металлочерепица Модерн, Классик, Камея, Квинта, КМЧ GL</t>
  </si>
  <si>
    <t>на готовую кровлю</t>
  </si>
  <si>
    <t>RR33, RR32*, RR11*, RR23*, RR29*, RR750, RR887(RAL8017)*, RR798(RAL3005)*</t>
  </si>
  <si>
    <r>
      <t xml:space="preserve">Вентилятор  Е120 P 125/500 - </t>
    </r>
    <r>
      <rPr>
        <sz val="10"/>
        <color indexed="8"/>
        <rFont val="Arial Cyr"/>
        <charset val="204"/>
      </rPr>
      <t>вентиляционный выход с колпаком, в который встроен вентилятор, внешний Ø 160 мм</t>
    </r>
  </si>
  <si>
    <t>Для монтажа отдельно заказывается проходной элемент по типу кровельного материала.</t>
  </si>
  <si>
    <t>RR33, RR32, RR11, RR29, RR23, RR750, RAL7040</t>
  </si>
  <si>
    <t>RR35, RR779</t>
  </si>
  <si>
    <r>
      <t>Вентилятор  E190 Р 125/ 500</t>
    </r>
    <r>
      <rPr>
        <sz val="10"/>
        <color indexed="8"/>
        <rFont val="Arial Cyr"/>
        <charset val="204"/>
      </rPr>
      <t xml:space="preserve"> - вентиляционный выход с колпаком, в который встроен вентилятор, внешний Ø 225 мм</t>
    </r>
  </si>
  <si>
    <t>RR33, RR32, RR11, RR29, RR750, RAL7040</t>
  </si>
  <si>
    <r>
      <t>CLASSIC</t>
    </r>
    <r>
      <rPr>
        <sz val="10"/>
        <color indexed="8"/>
        <rFont val="Arial Cyr"/>
        <charset val="204"/>
      </rPr>
      <t xml:space="preserve"> - для труб Ø 110-160 мм (герметик и уплотнитель гидрозатвора в комплект не входят)</t>
    </r>
  </si>
  <si>
    <t>фальцевая и мягкая (битумная) кровли</t>
  </si>
  <si>
    <t>RR33, RR32*, RR11, RR23*, RR29, RR750</t>
  </si>
  <si>
    <t>Регуляторы скорости для вентиляторов переменного ток (в комплект к вентилятору не идут, приобретаются отдельно)</t>
  </si>
  <si>
    <t>для сухих и влажных помещений</t>
  </si>
  <si>
    <t>RAL 9016</t>
  </si>
  <si>
    <t xml:space="preserve"> RR35, RAL7040, RR887(RAL8017)</t>
  </si>
  <si>
    <t>только для сухих помещений</t>
  </si>
  <si>
    <t>RR33, RR32, RR11, RR23, RR29, RR750, RAL7040</t>
  </si>
  <si>
    <r>
      <t xml:space="preserve">Антенный ворот - </t>
    </r>
    <r>
      <rPr>
        <sz val="10"/>
        <color indexed="8"/>
        <rFont val="Arial Cyr"/>
        <charset val="204"/>
      </rPr>
      <t>используется с проходным элементом по типу кровли</t>
    </r>
  </si>
  <si>
    <r>
      <t xml:space="preserve">PELTI </t>
    </r>
    <r>
      <rPr>
        <sz val="10"/>
        <color indexed="8"/>
        <rFont val="Arial Cyr"/>
        <charset val="204"/>
      </rPr>
      <t xml:space="preserve">- для труб Ø 110-160 мм (герметик и уплотнитель гидрозатвора входят в комплект) </t>
    </r>
  </si>
  <si>
    <t>металлочерепица (кроме профиля Kamea) и низкий профнастил (до 38-го профиля)</t>
  </si>
  <si>
    <t>при монтаже и на готовую кровлю</t>
  </si>
  <si>
    <t>RR33, RR32*, RR11*, RR23*, RR29*, RR750</t>
  </si>
  <si>
    <r>
      <t xml:space="preserve">Антенный ворот </t>
    </r>
    <r>
      <rPr>
        <sz val="10"/>
        <color indexed="8"/>
        <rFont val="Arial Cyr"/>
        <charset val="204"/>
      </rPr>
      <t>для труб Ø 12-90 мм</t>
    </r>
  </si>
  <si>
    <t>RR33, RR32, RR11, RR29, RR23, RR750</t>
  </si>
  <si>
    <t>RAL7040</t>
  </si>
  <si>
    <t xml:space="preserve"> RR35, RR887(RAL8017), RR798(RAL3005), RR779</t>
  </si>
  <si>
    <r>
      <t xml:space="preserve">Ворот трубы </t>
    </r>
    <r>
      <rPr>
        <sz val="10"/>
        <color indexed="8"/>
        <rFont val="Arial Cyr"/>
        <charset val="204"/>
      </rPr>
      <t>Ø 110-155 мм</t>
    </r>
  </si>
  <si>
    <r>
      <t>HUOPA/SLATE</t>
    </r>
    <r>
      <rPr>
        <sz val="10"/>
        <color indexed="8"/>
        <rFont val="Arial Cyr"/>
        <charset val="204"/>
      </rPr>
      <t xml:space="preserve"> - для труб Ø 110-160 мм (герметик в комплект не входит)</t>
    </r>
  </si>
  <si>
    <t>мягкая кровля</t>
  </si>
  <si>
    <t>при монтаже кровли</t>
  </si>
  <si>
    <t>RR33, RR32*, RR11, RR23, RR29</t>
  </si>
  <si>
    <r>
      <t xml:space="preserve">XL- резиновый ворот </t>
    </r>
    <r>
      <rPr>
        <sz val="10"/>
        <color indexed="8"/>
        <rFont val="Arial Cyr"/>
        <charset val="204"/>
      </rPr>
      <t xml:space="preserve">Ø 175-250 мм </t>
    </r>
  </si>
  <si>
    <t>XL-проходной элемент заказывается отдельно по типу кровельного материала.</t>
  </si>
  <si>
    <t>RR33</t>
  </si>
  <si>
    <t xml:space="preserve"> RR35,RAL7040</t>
  </si>
  <si>
    <t xml:space="preserve"> RR750</t>
  </si>
  <si>
    <t>Цокольный дефлектор</t>
  </si>
  <si>
    <r>
      <t>XL-UNIVERSAL/PELTI</t>
    </r>
    <r>
      <rPr>
        <sz val="10"/>
        <color indexed="8"/>
        <rFont val="Arial Cyr"/>
        <charset val="204"/>
      </rPr>
      <t xml:space="preserve">  - для труб Ø 160-250 мм (в комплект входит кольцо гидрозатвора и уплотнительная лента)</t>
    </r>
  </si>
  <si>
    <t>металличерепица (все профили), цементно-песчаная и керамическая черепица (все виды)</t>
  </si>
  <si>
    <t>RR33, RR32, RR11, RR23, RR29, RR750</t>
  </si>
  <si>
    <r>
      <t>ROSS - 125/135 дефлектор</t>
    </r>
    <r>
      <rPr>
        <sz val="10"/>
        <color indexed="8"/>
        <rFont val="Arial Cyr"/>
        <charset val="204"/>
      </rPr>
      <t xml:space="preserve"> - для проветривания цокольного пространства здания, обеспечения приточной или вытяжной вентиляции расположенных в подвале саун, гаражей, котельных, подачи воздуха в камины и т.д. </t>
    </r>
  </si>
  <si>
    <t>RAL 7040, RR33, RR23, RR29, RAL9016, RR30</t>
  </si>
  <si>
    <r>
      <t>XL-MUOTOKATE</t>
    </r>
    <r>
      <rPr>
        <sz val="10"/>
        <color indexed="8"/>
        <rFont val="Arial Cyr"/>
        <charset val="204"/>
      </rPr>
      <t xml:space="preserve">   - для труб Ø 160-250 мм (в комплект входит кольцо гидрозатвора и уплотнительная лента)</t>
    </r>
  </si>
  <si>
    <t>металлочерепица Модерн и Классик</t>
  </si>
  <si>
    <r>
      <t>ROSS - 160 /170 дефлектор</t>
    </r>
    <r>
      <rPr>
        <sz val="10"/>
        <color indexed="8"/>
        <rFont val="Arial Cyr"/>
        <charset val="204"/>
      </rPr>
      <t xml:space="preserve"> - для проветривания цокольного пространства здания, обеспечения приточной или вытяжной вентиляции подвальных помещений.</t>
    </r>
  </si>
  <si>
    <r>
      <t>XL- CLASSIC</t>
    </r>
    <r>
      <rPr>
        <sz val="10"/>
        <color indexed="8"/>
        <rFont val="Arial Cyr"/>
        <charset val="204"/>
      </rPr>
      <t xml:space="preserve">  - для труб Ø 160-250 мм (герметик в комплект не входит)</t>
    </r>
  </si>
  <si>
    <t>Проходные элементы PIIPPU</t>
  </si>
  <si>
    <t>композитная черепица Grand Line Barselona и Decra</t>
  </si>
  <si>
    <t>RR33, RR32 , RR11 , RR23 , RR29, RR750</t>
  </si>
  <si>
    <r>
      <t xml:space="preserve">PIIPPU  проходной элемент NO.1 круглый </t>
    </r>
    <r>
      <rPr>
        <sz val="10"/>
        <color indexed="8"/>
        <rFont val="Arial Cyr"/>
        <charset val="204"/>
      </rPr>
      <t>- для дымовых труб Ø 200-265 мм (в комплект входят пластиковый проходной элемент, резиновый уплотнитель, металлический хомут из нержавеющей стали и монтажная инструкция)</t>
    </r>
  </si>
  <si>
    <t>мягкая (битумная) кровля</t>
  </si>
  <si>
    <t>цементно-песчаная и керамическая черепица (все виды)</t>
  </si>
  <si>
    <r>
      <t xml:space="preserve">PIIPPU  проходной элемент NO.2 круглый </t>
    </r>
    <r>
      <rPr>
        <sz val="10"/>
        <color indexed="8"/>
        <rFont val="Arial Cyr"/>
        <charset val="204"/>
      </rPr>
      <t>- для дымовых труб Ø 280-380 мм (в комплект входят пластиковый проходной элемент, резиновый уплотнитель, металлический хомут из нержавеющей стали и монтажная инструкция)</t>
    </r>
  </si>
  <si>
    <t>все типы, кроме мягкой кровли</t>
  </si>
  <si>
    <t>Кровельные вентили KTV</t>
  </si>
  <si>
    <r>
      <t>PIIPPU уплотнитель гидрозатвора NO.1</t>
    </r>
    <r>
      <rPr>
        <sz val="10"/>
        <color indexed="8"/>
        <rFont val="Arial Cyr"/>
        <charset val="204"/>
      </rPr>
      <t xml:space="preserve"> - для монтажа PIIPPU проходного элемента (в комплект входят 2 пластиковые половинки, резиновый уплотнитель и бутиловая лента)</t>
    </r>
  </si>
  <si>
    <r>
      <t>MUOTOKATE - KTV</t>
    </r>
    <r>
      <rPr>
        <sz val="10"/>
        <color indexed="8"/>
        <rFont val="Arial Cyr"/>
        <charset val="204"/>
      </rPr>
      <t xml:space="preserve"> (герметик и уплотнитель гидрозатвора входят в комплект, адаптер в комплект не входит)</t>
    </r>
  </si>
  <si>
    <t>RR33, RR23*, RR32*, RR11, RR29, RR750, RR887(RAL8017)*, RR798(RAL3005)</t>
  </si>
  <si>
    <r>
      <t>PIIPPU уплотнитель гидрозатвора NO.2</t>
    </r>
    <r>
      <rPr>
        <sz val="10"/>
        <color indexed="8"/>
        <rFont val="Arial Cyr"/>
        <charset val="204"/>
      </rPr>
      <t xml:space="preserve"> - для монтажа PIIPPU проходного элемента (в комплект входят 2 пластиковые половинки, резиновый уплотнитель и бутиловая лента)</t>
    </r>
  </si>
  <si>
    <t>RR35</t>
  </si>
  <si>
    <t>металлочерепица, натуральная черепица и фальцевая кровля</t>
  </si>
  <si>
    <r>
      <t>Доп. листы для окантовки NO.1 PIIPPU проходного элемента</t>
    </r>
    <r>
      <rPr>
        <sz val="10"/>
        <color indexed="8"/>
        <rFont val="Arial Cyr"/>
        <charset val="204"/>
      </rPr>
      <t xml:space="preserve"> - размер 1000 x 785 мм</t>
    </r>
  </si>
  <si>
    <r>
      <t>CLASSIC - KTV</t>
    </r>
    <r>
      <rPr>
        <sz val="10"/>
        <rFont val="Arial Cyr"/>
        <charset val="204"/>
      </rPr>
      <t xml:space="preserve"> (герметик и адаптер в комплект не входят)</t>
    </r>
  </si>
  <si>
    <t>фальцевая и мягкая (битумная) кровли / гладкая кровля</t>
  </si>
  <si>
    <t xml:space="preserve">RR33, RR32*, RR11, RR23, RR29 </t>
  </si>
  <si>
    <t>Доп. листы для окантовки NO.2 PIIPPU проходного элемента</t>
  </si>
  <si>
    <t>RR750</t>
  </si>
  <si>
    <r>
      <t>Крепежные планки</t>
    </r>
    <r>
      <rPr>
        <sz val="10"/>
        <color indexed="8"/>
        <rFont val="Arial Cyr"/>
        <charset val="204"/>
      </rPr>
      <t xml:space="preserve"> - для облегчения монтажа PIIPPU проходного элемента (в комплект взодят 4 оцинкованных планки и набор крепежа)</t>
    </r>
  </si>
  <si>
    <t>фальцевая кровля</t>
  </si>
  <si>
    <t xml:space="preserve"> RR35</t>
  </si>
  <si>
    <t>Резиновые уплотнители для металлических кровель (для герметичного прохода через кровлю круглых элементов), комплекты содержат уплотнитель, хомут, шурупы, силикон и инструкцию. Заказные позиции, на складе не поддерживаются.</t>
  </si>
  <si>
    <r>
      <t xml:space="preserve">PELTI - KTV </t>
    </r>
    <r>
      <rPr>
        <sz val="10"/>
        <color indexed="8"/>
        <rFont val="Arial Cyr"/>
        <charset val="204"/>
      </rPr>
      <t>(герметик и уплотнитель гидрозатвора входят в комплект, адаптер в комплект не входит)</t>
    </r>
  </si>
  <si>
    <t>RR33, RR32*, RR11, RR23, RR29, RR750</t>
  </si>
  <si>
    <r>
      <t>ROOFSEAL - 1</t>
    </r>
    <r>
      <rPr>
        <sz val="10"/>
        <rFont val="Arial Cyr"/>
        <charset val="204"/>
      </rPr>
      <t xml:space="preserve"> диаметр 12-90 мм уплотнитель комплект</t>
    </r>
  </si>
  <si>
    <t>Для металлических кровель любого профиля</t>
  </si>
  <si>
    <t>RR887(RAL8017), RR798(RAL3005), RR779</t>
  </si>
  <si>
    <r>
      <t>ROOFSEAL - 2</t>
    </r>
    <r>
      <rPr>
        <sz val="10"/>
        <rFont val="Arial Cyr"/>
        <charset val="204"/>
      </rPr>
      <t xml:space="preserve">  диаметр 75-150 мм уплотнитель комплект</t>
    </r>
  </si>
  <si>
    <r>
      <t xml:space="preserve">HUOPA - КТV </t>
    </r>
    <r>
      <rPr>
        <sz val="10"/>
        <color indexed="8"/>
        <rFont val="Arial Cyr"/>
        <charset val="204"/>
      </rPr>
      <t>(герметик в комплект не входит)</t>
    </r>
  </si>
  <si>
    <t>мягкая кровля / гладкая кровля</t>
  </si>
  <si>
    <t xml:space="preserve">RR33, RR32*, RR11,RR23, RR29 </t>
  </si>
  <si>
    <r>
      <t>ROOFSEAL - 3</t>
    </r>
    <r>
      <rPr>
        <sz val="10"/>
        <rFont val="Arial Cyr"/>
        <charset val="204"/>
      </rPr>
      <t xml:space="preserve">  диаметр 110-200 мм уплотнитель комплект</t>
    </r>
  </si>
  <si>
    <t>RR750, RR35</t>
  </si>
  <si>
    <r>
      <t>ROOFSEAL - 4/7</t>
    </r>
    <r>
      <rPr>
        <sz val="10"/>
        <rFont val="Arial Cyr"/>
        <charset val="204"/>
      </rPr>
      <t xml:space="preserve">  диаметр 150-280 мм уплотнитель комплект</t>
    </r>
  </si>
  <si>
    <r>
      <t xml:space="preserve">PELTI-KTV / HARJA - </t>
    </r>
    <r>
      <rPr>
        <sz val="10"/>
        <color indexed="8"/>
        <rFont val="Arial Cyr"/>
        <charset val="204"/>
      </rPr>
      <t>коньковый кровельный вентиль  (под полукруглый конек, малый полукруглый конек, коньки плоские 115*30*115 и 145*145) (адаптер в комплект не входит)</t>
    </r>
  </si>
  <si>
    <t>RR35, RR33, RR32*, RR11, RR23, RR29, RR750, RR798(RAL3005), RR887(RAL8017)</t>
  </si>
  <si>
    <r>
      <t>ROOFSEAL - 6/9</t>
    </r>
    <r>
      <rPr>
        <sz val="10"/>
        <rFont val="Arial Cyr"/>
        <charset val="204"/>
      </rPr>
      <t xml:space="preserve">  диаметр 260-460 мм уплотнитель комплект</t>
    </r>
  </si>
  <si>
    <r>
      <t>DECRA-KTV</t>
    </r>
    <r>
      <rPr>
        <sz val="10"/>
        <color indexed="8"/>
        <rFont val="Arial Cyr"/>
        <charset val="204"/>
      </rPr>
      <t xml:space="preserve"> - кровельный вентиль для металлочерепицы типа Decra (адаптер в комплект не входит)</t>
    </r>
  </si>
  <si>
    <t xml:space="preserve">RR33, RR32, RR11, RR23, RR29, RR750  </t>
  </si>
  <si>
    <r>
      <t xml:space="preserve">RETROFIT-1  </t>
    </r>
    <r>
      <rPr>
        <sz val="10"/>
        <color indexed="8"/>
        <rFont val="Arial Cyr"/>
        <charset val="204"/>
      </rPr>
      <t>диаметр</t>
    </r>
    <r>
      <rPr>
        <b/>
        <sz val="10"/>
        <color indexed="8"/>
        <rFont val="Arial Cyr"/>
        <charset val="204"/>
      </rPr>
      <t xml:space="preserve"> </t>
    </r>
    <r>
      <rPr>
        <sz val="10"/>
        <color indexed="8"/>
        <rFont val="Arial Cyr"/>
        <charset val="204"/>
      </rPr>
      <t>10-100 мм уплотнитель комплект разъемный</t>
    </r>
  </si>
  <si>
    <t>Кровельный вентиль / коньковый аэротор для мягкой кровли</t>
  </si>
  <si>
    <r>
      <t>RETROFIT-2</t>
    </r>
    <r>
      <rPr>
        <sz val="10"/>
        <rFont val="Arial Cyr"/>
        <charset val="204"/>
      </rPr>
      <t xml:space="preserve">  диаметр 100-230 мм уплотнитель комплект разъемный</t>
    </r>
  </si>
  <si>
    <r>
      <t xml:space="preserve">AIRIDGE FELT L=0,59м </t>
    </r>
    <r>
      <rPr>
        <sz val="10"/>
        <color indexed="8"/>
        <rFont val="Arial Cyr"/>
        <charset val="204"/>
      </rPr>
      <t>аэратор коньковый</t>
    </r>
  </si>
  <si>
    <t xml:space="preserve"> RR33*</t>
  </si>
  <si>
    <t>Вентиляционные выходы 0- 600 м3/ч</t>
  </si>
  <si>
    <t>Вентиляционные выходы канализации</t>
  </si>
  <si>
    <r>
      <t>Вентиляционный выход  (Выход вытяжки) 125/160/500 -</t>
    </r>
    <r>
      <rPr>
        <sz val="10"/>
        <rFont val="Arial Cyr"/>
        <charset val="204"/>
      </rPr>
      <t xml:space="preserve"> изолированный вентиляционный выход с колпаком,
высота 500 мм + колпак, внешний Ø 160мм</t>
    </r>
  </si>
  <si>
    <r>
      <t xml:space="preserve">Неизолированный вентиляционный выход канализации 110/500
</t>
    </r>
    <r>
      <rPr>
        <sz val="10"/>
        <color indexed="8"/>
        <rFont val="Arial Cyr"/>
        <charset val="204"/>
      </rPr>
      <t xml:space="preserve">высота 500 мм, внешний Ø 110мм </t>
    </r>
  </si>
  <si>
    <t>RR33, RR32*, RR11*, RR23*, RR29, RR750, RR798(RAL3005)*, RR887(RAL8017)*</t>
  </si>
  <si>
    <t>RAL 7040, RR779</t>
  </si>
  <si>
    <t xml:space="preserve"> RR35, RAL7040</t>
  </si>
  <si>
    <r>
      <t xml:space="preserve">Изолированный вентиляционный выход канализации 110/160/500
</t>
    </r>
    <r>
      <rPr>
        <sz val="10"/>
        <color indexed="8"/>
        <rFont val="Arial Cyr"/>
        <charset val="204"/>
      </rPr>
      <t xml:space="preserve">высота 500 мм, внешний Ø 160мм </t>
    </r>
  </si>
  <si>
    <t>RR33, RR32*, RR11, RR23*, RR29, RR750, RR35, RAL7040, RR798(RAL3005), RR887(RAL8017)*</t>
  </si>
  <si>
    <r>
      <rPr>
        <b/>
        <sz val="10"/>
        <rFont val="Arial Cyr"/>
        <charset val="204"/>
      </rPr>
      <t xml:space="preserve">Вентиляционный выход  (Выход вытяжки) 125/160/700 - </t>
    </r>
    <r>
      <rPr>
        <sz val="10"/>
        <rFont val="Arial Cyr"/>
        <charset val="204"/>
      </rPr>
      <t xml:space="preserve">
изолированный вентиляционный выход с колпаком,
высота 700 мм + колпак, внешний Ø 160мм</t>
    </r>
  </si>
  <si>
    <t>RR33, RR32, RR11, RR23, RR29, RR750, RR887(RAL8017), RR798(RAL3005)</t>
  </si>
  <si>
    <r>
      <t xml:space="preserve">Колпак-дефлектор  </t>
    </r>
    <r>
      <rPr>
        <sz val="10"/>
        <color indexed="8"/>
        <rFont val="Arial Cyr"/>
        <charset val="204"/>
      </rPr>
      <t>для трубы Ø 110мм 
для Неизолированный вентиляционный выход канализации 110/500</t>
    </r>
  </si>
  <si>
    <t>Крепится на вент.выходы до монтажа</t>
  </si>
  <si>
    <t xml:space="preserve"> RR35, RAL 7040</t>
  </si>
  <si>
    <t>RR35, RAL7040</t>
  </si>
  <si>
    <r>
      <t>Вентиляционный выход  (Выход вытяжки) 160 /225/500</t>
    </r>
    <r>
      <rPr>
        <sz val="10"/>
        <rFont val="Arial Cyr"/>
        <charset val="204"/>
      </rPr>
      <t xml:space="preserve"> - изолированный вентиляционный выход с колпаком,
высота 500 мм + колпак, внешний Ø 225мм</t>
    </r>
  </si>
  <si>
    <t>RR33, RR32, RR11, RR23, RR29, RR750, RAL 7040, RR887(RAL8017), RR798(RAL3005)</t>
  </si>
  <si>
    <r>
      <t xml:space="preserve">Колпак-дефлектор  </t>
    </r>
    <r>
      <rPr>
        <sz val="10"/>
        <color indexed="8"/>
        <rFont val="Arial Cyr"/>
        <charset val="204"/>
      </rPr>
      <t>для трубы Ø 160мм 
для Изолированный вентиляционный выход канализации 110/160/500</t>
    </r>
  </si>
  <si>
    <t>RR33, RR32*, RR11, RR23*, RR29, RR750, RR798(RAL3005), RR887(RAL8017)*</t>
  </si>
  <si>
    <r>
      <t>Вентиляционный выход  (Выход вытяжки) 160 /225/700</t>
    </r>
    <r>
      <rPr>
        <sz val="10"/>
        <rFont val="Arial Cyr"/>
        <charset val="204"/>
      </rPr>
      <t xml:space="preserve"> - изолированный вентиляционный выход с колпаком,
высота 700 мм + колпак, внешний Ø 225мм</t>
    </r>
  </si>
  <si>
    <t>RR33, RR32, RR11, RR23, RR29, RR750, RAL7040, RR887(RAL8017), RR798(RAL3005)</t>
  </si>
  <si>
    <r>
      <t>Труба 110 гофрированная -</t>
    </r>
    <r>
      <rPr>
        <sz val="10"/>
        <color indexed="8"/>
        <rFont val="Arial Cyr"/>
        <charset val="204"/>
      </rPr>
      <t xml:space="preserve"> соединяет вентиляционный выход канализации с канализационным стояком Ø 110мм, 
общая длина 400 мм</t>
    </r>
  </si>
  <si>
    <t>RR33*</t>
  </si>
  <si>
    <t>XL-Вентиляционные выходы 0- 1300 м3/ч</t>
  </si>
  <si>
    <r>
      <t>XL- 160/ИЗ/500</t>
    </r>
    <r>
      <rPr>
        <sz val="10"/>
        <color indexed="8"/>
        <rFont val="Arial Cyr"/>
        <charset val="204"/>
      </rPr>
      <t xml:space="preserve"> изолированный вентиляционный выход высотой 500 мм + колпак, внешний Ø 300мм</t>
    </r>
  </si>
  <si>
    <t>Для монтажа отдельно заказывается XL -проходной элемент по типу кровельного материала.</t>
  </si>
  <si>
    <r>
      <t>XL- 160/ИЗ/700</t>
    </r>
    <r>
      <rPr>
        <sz val="10"/>
        <color indexed="8"/>
        <rFont val="Arial Cyr"/>
        <charset val="204"/>
      </rPr>
      <t xml:space="preserve"> изолированный вентиляционный выход высотой 700 мм + колпак, внешний Ø 300мм</t>
    </r>
  </si>
  <si>
    <t>Кольцо гидрозатвора</t>
  </si>
  <si>
    <r>
      <t xml:space="preserve">XL-200/ИЗ/500 </t>
    </r>
    <r>
      <rPr>
        <sz val="10"/>
        <color indexed="8"/>
        <rFont val="Arial Cyr"/>
        <charset val="204"/>
      </rPr>
      <t>изолированный вентиляционный выход высотой 500 мм + колпак, внешний Ø 300мм</t>
    </r>
  </si>
  <si>
    <t>2K Уплотнитель гидрозатвора</t>
  </si>
  <si>
    <r>
      <t xml:space="preserve">XL-200/ИЗ/700 </t>
    </r>
    <r>
      <rPr>
        <sz val="10"/>
        <color indexed="8"/>
        <rFont val="Arial Cyr"/>
        <charset val="204"/>
      </rPr>
      <t>изолированный вентиляционный выход высотой 700 мм + колпак, внешний Ø 300мм</t>
    </r>
  </si>
  <si>
    <t>Адаптер для KTV кровельного вентиля</t>
  </si>
  <si>
    <t>для соединения с выводимой трубой</t>
  </si>
  <si>
    <r>
      <t>XL-250/ИЗ/500</t>
    </r>
    <r>
      <rPr>
        <sz val="10"/>
        <color indexed="8"/>
        <rFont val="Arial Cyr"/>
        <charset val="204"/>
      </rPr>
      <t xml:space="preserve"> изолированный вентиляционный выход высотой 500 мм + колпак, внешний Ø 300мм</t>
    </r>
  </si>
  <si>
    <r>
      <t>XL-250/ИЗ/700</t>
    </r>
    <r>
      <rPr>
        <sz val="10"/>
        <color indexed="8"/>
        <rFont val="Arial Cyr"/>
        <charset val="204"/>
      </rPr>
      <t xml:space="preserve"> изолированный вентиляционный выход высотой 700 мм + колпак, внешний Ø 300мм</t>
    </r>
  </si>
  <si>
    <t>* - продукция поддерживается на складе в указанном цвете</t>
  </si>
  <si>
    <t>Сопутствующие товары для монтажа кровельной вентиляции</t>
  </si>
  <si>
    <r>
      <t>Коллекция цветов</t>
    </r>
    <r>
      <rPr>
        <sz val="10"/>
        <rFont val="Arial Cyr"/>
        <charset val="204"/>
      </rPr>
      <t xml:space="preserve"> - RR33/RAL9005 - черный, RAL 9016 - белый, RR32/RAL8019 - коричневый, RR11/RAL6020 - зеленый, RR23/RAL7024 - серый, RR29/RAL3009 - красный, RR750/RAL8004 - кирпичный, RR35/RAL5007 - синий, RAL 7040 - светло-серый, RR887/RAL8017 - шоколад, RR798/RAL3005 - бордо, RR30/RAL1015 - бежевый, RR779 - баклажан</t>
    </r>
  </si>
  <si>
    <t>Позиции, не отмеченные как Comfort, относятся к группе Standart</t>
  </si>
  <si>
    <t>Полный ассортимент элементов вентиляции в каталоге Vilpe на сайте http://www.vilpe.com/ru/. Цены и срок поставки уточняйте у менеджера по продажам.</t>
  </si>
  <si>
    <t>Магнитная насадка 8х45 / 8х48</t>
  </si>
  <si>
    <t>Ваша Скидка</t>
  </si>
  <si>
    <t>Standart</t>
  </si>
  <si>
    <t>Comfort</t>
  </si>
  <si>
    <t>1.18. Вентиляция Krovent</t>
  </si>
  <si>
    <t>Доступные для заказа цвета</t>
  </si>
  <si>
    <t>Цена 
руб./ шт.</t>
  </si>
  <si>
    <t>Название</t>
  </si>
  <si>
    <t>Диаметр, мм.</t>
  </si>
  <si>
    <t>Допустимые углы наклона кровли, °</t>
  </si>
  <si>
    <t>Кровельные вентили</t>
  </si>
  <si>
    <r>
      <t>Площадь проветриваемого пространства: 60 м</t>
    </r>
    <r>
      <rPr>
        <b/>
        <vertAlign val="superscript"/>
        <sz val="10"/>
        <color indexed="8"/>
        <rFont val="Arial Cyr"/>
        <charset val="204"/>
      </rPr>
      <t>2</t>
    </r>
  </si>
  <si>
    <t xml:space="preserve">KTV </t>
  </si>
  <si>
    <t>мягкая</t>
  </si>
  <si>
    <t>Проходной элемент прямой №1</t>
  </si>
  <si>
    <t>круглый Ø118</t>
  </si>
  <si>
    <t>от 0 до 20</t>
  </si>
  <si>
    <t xml:space="preserve">металлопрофиль, мч, плоская, мембранная, рулонная, мастичная кровли </t>
  </si>
  <si>
    <t>Проходной элемент прямой №5</t>
  </si>
  <si>
    <t>280х280</t>
  </si>
  <si>
    <t>KTV-Seam</t>
  </si>
  <si>
    <t>мягкая, фальцевая</t>
  </si>
  <si>
    <t>Проходной элемент прямой №2</t>
  </si>
  <si>
    <t>круглый Ø155</t>
  </si>
  <si>
    <t xml:space="preserve">Проходной элемент комби №4 </t>
  </si>
  <si>
    <t>от 0 до 45</t>
  </si>
  <si>
    <t xml:space="preserve">для кровли из металлопрофиля, мч, фальцевая кровля </t>
  </si>
  <si>
    <t xml:space="preserve">KTV-Wave </t>
  </si>
  <si>
    <t>металлочерепица (для Classic и Modern)</t>
  </si>
  <si>
    <t>Проходной элемент прямой №3</t>
  </si>
  <si>
    <t>210х210</t>
  </si>
  <si>
    <t>Мембрана изготовлена из EPDM - эластичного материала, не подверженного атмосферному и коррозийному воздействию. Фланец полностью резиновый, по периметру алюминиевые полоски для надежного и быстрого монтажа. Монтируются на готовую кровлю.</t>
  </si>
  <si>
    <t>KTV-General</t>
  </si>
  <si>
    <t>металлочерепица (все профили, кроме Kamea)</t>
  </si>
  <si>
    <t>Вентиляционные выходы</t>
  </si>
  <si>
    <t>гибкая, керамическая, сланцевая черепица, кровли из композитных материалов, ондулина, шифера</t>
  </si>
  <si>
    <r>
      <t xml:space="preserve">Выход вентиляции Pipe-VT
</t>
    </r>
    <r>
      <rPr>
        <sz val="10"/>
        <color indexed="8"/>
        <rFont val="Arial Cyr"/>
        <charset val="204"/>
      </rPr>
      <t>Сфера применения: вентиляция подкровельного пространства</t>
    </r>
  </si>
  <si>
    <r>
      <t xml:space="preserve">Выход канализации Pipe-VT 110 изолированный
</t>
    </r>
    <r>
      <rPr>
        <sz val="10"/>
        <color indexed="8"/>
        <rFont val="Arial Cyr"/>
        <charset val="204"/>
      </rPr>
      <t>Сфера применения: вентиляция канализационных стояков</t>
    </r>
  </si>
  <si>
    <r>
      <t xml:space="preserve">Выход вентиляции Pipe-VT 125 изолированный
</t>
    </r>
    <r>
      <rPr>
        <sz val="10"/>
        <color indexed="8"/>
        <rFont val="Arial Cyr"/>
        <charset val="204"/>
      </rPr>
      <t>Сфера применения: вентиляция внутренних помещений и кухонной вытяжки</t>
    </r>
  </si>
  <si>
    <t>Проходной элемент ультраугловой №2</t>
  </si>
  <si>
    <t>от 20 до 55</t>
  </si>
  <si>
    <t>металлопрофиль, МЧ, сланцевая</t>
  </si>
  <si>
    <r>
      <t xml:space="preserve">Выход вентиляции Pipe-VT 150 изолированный
</t>
    </r>
    <r>
      <rPr>
        <sz val="10"/>
        <color indexed="8"/>
        <rFont val="Arial Cyr"/>
        <charset val="204"/>
      </rPr>
      <t>Сфера применения: вентиляция внутренних помещений и кухонной вытяжки</t>
    </r>
  </si>
  <si>
    <t>Проходной элемент прямой №8</t>
  </si>
  <si>
    <t>420х420</t>
  </si>
  <si>
    <t>Мембрана изготовлена из высокотемпетатурного силикона. Фланец у угловых элементов изготовлен из алюминиевого сплава с высокой стойкостью к окислению и воздействию агрессивных сред. У прочих фланец синиконовый с металлическими полосками по периометру для надежного и быстрого монтажа. Монтируются на готовую кровлю.</t>
  </si>
  <si>
    <r>
      <t xml:space="preserve">Колпак HupCap 110
</t>
    </r>
    <r>
      <rPr>
        <sz val="10"/>
        <color indexed="8"/>
        <rFont val="Arial Cyr"/>
        <charset val="204"/>
      </rPr>
      <t>Используется для вент.выхода Pipe-VT и выхода канализации Pipe-VT 110</t>
    </r>
  </si>
  <si>
    <t>Проходной элемент прямой №9</t>
  </si>
  <si>
    <t>600х600</t>
  </si>
  <si>
    <r>
      <t xml:space="preserve">Колпак HupCap 270
</t>
    </r>
    <r>
      <rPr>
        <sz val="10"/>
        <color indexed="8"/>
        <rFont val="Arial Cyr"/>
        <charset val="204"/>
      </rPr>
      <t>Используется для вент.выхода 125 и 150</t>
    </r>
  </si>
  <si>
    <r>
      <t>Материал EPDM (до +185</t>
    </r>
    <r>
      <rPr>
        <vertAlign val="superscript"/>
        <sz val="10"/>
        <rFont val="Arial Cyr"/>
        <charset val="204"/>
      </rPr>
      <t>o</t>
    </r>
    <r>
      <rPr>
        <sz val="10"/>
        <rFont val="Arial Cyr"/>
        <charset val="204"/>
      </rPr>
      <t>C)</t>
    </r>
  </si>
  <si>
    <t>Вентиляторы</t>
  </si>
  <si>
    <t>Проходной элемент прямой №6</t>
  </si>
  <si>
    <t>310х310</t>
  </si>
  <si>
    <t>МЧ</t>
  </si>
  <si>
    <r>
      <t xml:space="preserve">Вентилятор Krovent Moto R190/125
</t>
    </r>
    <r>
      <rPr>
        <sz val="10"/>
        <color indexed="8"/>
        <rFont val="Arial Cyr"/>
        <charset val="204"/>
      </rPr>
      <t>Высота трубы: 580 см; внешний диаметр: 206 мм; внутренняя труба диаметром: 125 мм.</t>
    </r>
  </si>
  <si>
    <t>Проходной элемент прямой №7</t>
  </si>
  <si>
    <t>364х364</t>
  </si>
  <si>
    <t xml:space="preserve">Проходной элемент комби №8 </t>
  </si>
  <si>
    <t>465х465</t>
  </si>
  <si>
    <t>Для выхода вентиляции Pipe-VT и выхода канализации Pipe-VT 110</t>
  </si>
  <si>
    <t>Base-VT 110</t>
  </si>
  <si>
    <t xml:space="preserve">Base-VT Seam 110 </t>
  </si>
  <si>
    <t>Проходной элемент комби №10</t>
  </si>
  <si>
    <t>850х850</t>
  </si>
  <si>
    <t xml:space="preserve">Base-VT Wave 110 </t>
  </si>
  <si>
    <t>Для выхода вентиляции Pipe-VT 125 и Pipe-VT 150</t>
  </si>
  <si>
    <t>Проходной элемент комби №11</t>
  </si>
  <si>
    <t>1200х1200</t>
  </si>
  <si>
    <t>от 0 до 50</t>
  </si>
  <si>
    <t xml:space="preserve">Base-VT 125/150 </t>
  </si>
  <si>
    <t xml:space="preserve">Base-VT Seam 125/150 </t>
  </si>
  <si>
    <t>500х600</t>
  </si>
  <si>
    <t>гибкая (устанавливается в процессе монтажа), керамическая, сланцевая черепица, кровли из композитных материалов, ондулина, шифера</t>
  </si>
  <si>
    <t>Ультраугол №2</t>
  </si>
  <si>
    <t xml:space="preserve">Base-VT Wave 125/150 </t>
  </si>
  <si>
    <t>600х670</t>
  </si>
  <si>
    <t>Base-VT General 125/150</t>
  </si>
  <si>
    <t>красный, зеленый, коричневый, серый, черный</t>
  </si>
  <si>
    <t>890х890</t>
  </si>
  <si>
    <t>Мембрана изготовлена из EPDM - эластичного материала, не подверженного атмосферному и коррозийному воздействию. Фланец полностью резиновый, по периметру алюминиевые полоски для надежного и быстрого монтажа.  Фланец у угловых элементов изготовлен из алюминиевого сплава с высокой стойкостью к окислению и воздействию агрессивных сред. Монтируются на готовую кровлю.</t>
  </si>
  <si>
    <t>Гофрированная труба</t>
  </si>
  <si>
    <r>
      <t xml:space="preserve">Гофрированная труба  Connect Pipe-VT 110
</t>
    </r>
    <r>
      <rPr>
        <sz val="10"/>
        <color indexed="8"/>
        <rFont val="Arial Cyr"/>
        <charset val="204"/>
      </rPr>
      <t>Гофрированная труба используется для соединения выхода канализации </t>
    </r>
    <r>
      <rPr>
        <b/>
        <sz val="10"/>
        <color indexed="8"/>
        <rFont val="Arial Cyr"/>
        <charset val="204"/>
      </rPr>
      <t>Pipe-VT 110is</t>
    </r>
  </si>
  <si>
    <t>Коньковый элемент</t>
  </si>
  <si>
    <r>
      <t xml:space="preserve">Pipe-Cone
</t>
    </r>
    <r>
      <rPr>
        <sz val="10"/>
        <color indexed="8"/>
        <rFont val="Arial Cyr"/>
        <charset val="204"/>
      </rPr>
      <t>При монтаже используется в комплекте с колпаком HupCap 110</t>
    </r>
  </si>
  <si>
    <t>Аэраторы скатные</t>
  </si>
  <si>
    <r>
      <t>Площадь проветриваемого пространства: 20 м</t>
    </r>
    <r>
      <rPr>
        <b/>
        <vertAlign val="superscript"/>
        <sz val="10"/>
        <color indexed="8"/>
        <rFont val="Arial Cyr"/>
        <charset val="204"/>
      </rPr>
      <t>2</t>
    </r>
  </si>
  <si>
    <t>Aero-Vent</t>
  </si>
  <si>
    <t>Aero-Vent Wave</t>
  </si>
  <si>
    <t>металлочерепица (для Classic, Modern и Композитной МЧ)</t>
  </si>
  <si>
    <t>Уплотнитель гидрозатвора</t>
  </si>
  <si>
    <t>Цветовая гамма: красный (RAL 3009), зеленый (RAL 6005), кирпичный (RAL 8004), серый (RAL 7024), черный (RAL 9005), коричневый (RAL 8017).</t>
  </si>
  <si>
    <t>Вентиляция Krovent</t>
  </si>
  <si>
    <t>Кровельные проходки Master Flash</t>
  </si>
  <si>
    <t xml:space="preserve">Цены действительны с </t>
  </si>
  <si>
    <t>Одностенные дымоходы Ferrum, 
толщина металла трубы 0,5 мм, нержавеющая сталь марки AISI 430</t>
  </si>
  <si>
    <t>Двустенные дымоходы Ferrum, сэндвич-дымоходы с утеплителем Izovol толщиной 30-50 мм плотностью 150 кг/м3, 
внутренняя труба - нержавеющая сталь марки AISI 430,  толщина металла 0,5 мм, 
внешняя труба - оцинкованная/нержавеющая сталь, толщина металла 0,5 мм.</t>
  </si>
  <si>
    <t>Наименование, толщина металла</t>
  </si>
  <si>
    <t>Металл</t>
  </si>
  <si>
    <t>Металл внешней трубы</t>
  </si>
  <si>
    <t>Диаметр трубы, мм</t>
  </si>
  <si>
    <t>Диаметр внутренней трубы, мм, нерж.</t>
  </si>
  <si>
    <t>Диаметр внешней трубы, мм, оц./нерж.</t>
  </si>
  <si>
    <t>Дымоход 1 м, 0,5 мм</t>
  </si>
  <si>
    <t>нерж.</t>
  </si>
  <si>
    <t>Сэндвич-труба 1 м, 0,5+0,5мм</t>
  </si>
  <si>
    <t>оцинк.</t>
  </si>
  <si>
    <t>Дымоход 0,5 м, 0,5 мм</t>
  </si>
  <si>
    <t>Дымоход 0,25 м, 0,5 мм</t>
  </si>
  <si>
    <t>Сэндвич-труба 0,5 м, 0,5+0,5мм</t>
  </si>
  <si>
    <t>Адаптер котла ММ или ПП, 0,5 мм *</t>
  </si>
  <si>
    <t>Шибер, 0,5 мм</t>
  </si>
  <si>
    <t>Сэндвич-труба 0,25 м, 0,5+0,5мм</t>
  </si>
  <si>
    <t>Шибер-задвижка, 0,8 мм</t>
  </si>
  <si>
    <t>Сетка для камней, 0,5 мм</t>
  </si>
  <si>
    <t>Старт-сэндвич, 0,5+0,5мм (для перехода от одностенного дымохода к сэндвич)</t>
  </si>
  <si>
    <t>Площадка монтажная одностенная, 0,8 мм</t>
  </si>
  <si>
    <t>Адаптер котла стартовый, 0,5+0,5мм (для перехода от одностенного дымохода к сэндвич от Д к К)*</t>
  </si>
  <si>
    <t>Тройник-К 135 град., 0,5 мм *</t>
  </si>
  <si>
    <t>Тройник-Д 90 град., 0,5 мм *</t>
  </si>
  <si>
    <t>Тройник-К 90 град., 0,5 мм *</t>
  </si>
  <si>
    <t>Заглушка внутренняя, 0,5мм (для ревизии, одностенная, по диаметру внешней трубе)</t>
  </si>
  <si>
    <t>Заглушка внешняя нижняя, 0,5 мм</t>
  </si>
  <si>
    <t>Заглушка с отверствием, 0,5мм (одностенная)</t>
  </si>
  <si>
    <t>Конденсатоотвод внутренний, 0,5 мм (по диаметру внешней трубы)</t>
  </si>
  <si>
    <t>Конденсатоотвод внешний, 0,5 мм</t>
  </si>
  <si>
    <t>Сэндвич-тройник 90 град., 0,5+0,5мм</t>
  </si>
  <si>
    <t>Колено 135 град. (2 секции), 0,5 мм</t>
  </si>
  <si>
    <t>Колено 135 град. (3 секции), 0,5 мм</t>
  </si>
  <si>
    <t>Сэндвич-тройник 135 град., 0,5+0,5мм</t>
  </si>
  <si>
    <t>Колено 90 град. (3 секции), 0,5 мм</t>
  </si>
  <si>
    <t>Колено 90 град. (4 секции), 0,5 мм</t>
  </si>
  <si>
    <t>Дымоход-конвектор, 0,8 мм</t>
  </si>
  <si>
    <t>Зонт Д или К, 0,5 мм *</t>
  </si>
  <si>
    <t>Сэндвич-колено 90 град., 0,5+0,5мм</t>
  </si>
  <si>
    <t>Зонт Д или К с ветрозащитой, 0,5 мм *</t>
  </si>
  <si>
    <t>Оголовок, 0,5+0,5мм</t>
  </si>
  <si>
    <t>Одностенные дымоходы Ferrum Plus, 
толщина металла трубы 0,8 мм, нержавеющая сталь марки AISI 430</t>
  </si>
  <si>
    <t>Конус, 0,5+0,5мм</t>
  </si>
  <si>
    <t xml:space="preserve">Двустенные дымоходы Ferrum Plus, сэндвич-дымоходы с утеплителем Izovol толщиной 30-50 мм плотностью 150 кг/м3, 
внутренняя труба - нержавеющая сталь марки AISI 430, толщина металла 0,8 мм, 
внешняя труба - оционкованная/нержавеющая сталь марки AISI 430, толщина металла 0,5 мм.
</t>
  </si>
  <si>
    <t>Дымоход 1 м, 0,8 мм</t>
  </si>
  <si>
    <t>Дымоход 0,5 м, 0,8 мм</t>
  </si>
  <si>
    <t>Дымоход 0,25 м, 0,8 мм</t>
  </si>
  <si>
    <t>Адаптер котла ММ или ПП, 0,8 мм *</t>
  </si>
  <si>
    <t>Сэндвич-труба 1 м, 0,8+0,5мм</t>
  </si>
  <si>
    <t>Шибер, 0,8 мм</t>
  </si>
  <si>
    <t>Сэндвич-труба 0,5 м, 0,8+0,5мм</t>
  </si>
  <si>
    <t>Сэндвич-труба 0,25 м, 0,8+0,5мм</t>
  </si>
  <si>
    <t>Тройник-К 135 град., 0,8 мм *</t>
  </si>
  <si>
    <t>Тройник-Д 90 град., 0,8 мм *</t>
  </si>
  <si>
    <t>Старт-сэндвич, 0,8+0,5мм (для перехода от одностенного дымохода к сэндвич)</t>
  </si>
  <si>
    <t>Тройник-К 90 град., 0,8 мм *</t>
  </si>
  <si>
    <t>Адаптер котла стартовый, 0,8+0,5мм (для перехода от одностенного дымохода к сэндвич от Д к К) *</t>
  </si>
  <si>
    <t>Колено 135 град. (2 секции), 0,8 мм</t>
  </si>
  <si>
    <t>Заглушка с отверствием, 0,5 мм (одностенная)</t>
  </si>
  <si>
    <t>Колено 90 град. (3 секции), 0,8 мм</t>
  </si>
  <si>
    <t>Сэндвич-тройник 90 град., 0,8+0,5мм</t>
  </si>
  <si>
    <t>Колено 90 град. (4 секции), 0,8 мм</t>
  </si>
  <si>
    <t>Сэндвич-тройник 135 град., 0,8+0,5мм</t>
  </si>
  <si>
    <t>Сэндвич-колено 90 град., 0,8+0,5мм</t>
  </si>
  <si>
    <t>Нименование</t>
  </si>
  <si>
    <t>Размер, мм</t>
  </si>
  <si>
    <t>L-250</t>
  </si>
  <si>
    <t>L-500</t>
  </si>
  <si>
    <t>L-750</t>
  </si>
  <si>
    <t>L-1000</t>
  </si>
  <si>
    <t>500х500 без отверстия</t>
  </si>
  <si>
    <t>500х500 с отв. 80-300 мм</t>
  </si>
  <si>
    <t>600х1000 без отверстия</t>
  </si>
  <si>
    <t>1000х1000 без отверстия</t>
  </si>
  <si>
    <t>Экран защитный, 0,5 мм</t>
  </si>
  <si>
    <t>400х600</t>
  </si>
  <si>
    <t>500х1000</t>
  </si>
  <si>
    <t>600х1000</t>
  </si>
  <si>
    <t>Притопочный лист, 0,5 мм</t>
  </si>
  <si>
    <t>Стеновой хомут</t>
  </si>
  <si>
    <t>медь</t>
  </si>
  <si>
    <t>Опора напольная, 2 мм (по диаметру внутренней трубы)</t>
  </si>
  <si>
    <t>Кронштейн раздвижной №1, 1 мм</t>
  </si>
  <si>
    <t>Хомут обжимной, 0,5 мм</t>
  </si>
  <si>
    <t>К1 280х200</t>
  </si>
  <si>
    <t>К2 330х250</t>
  </si>
  <si>
    <t>К3 400х300</t>
  </si>
  <si>
    <t>К4 500х370</t>
  </si>
  <si>
    <t>К5 600х440</t>
  </si>
  <si>
    <t>К6 700х510</t>
  </si>
  <si>
    <t>К7 950х680</t>
  </si>
  <si>
    <t>К8 1300х980</t>
  </si>
  <si>
    <t>Хомут обжимной под растяжку, 0,5 мм</t>
  </si>
  <si>
    <t>Консоль (комплект из 2 шт.) 2 мм</t>
  </si>
  <si>
    <t>Крышная разделка угловая, 0,5 мм</t>
  </si>
  <si>
    <t>Услуга покраски элементов систем дымоотведения Ferrum</t>
  </si>
  <si>
    <t>Крышная разделка прямая, 0,5 мм</t>
  </si>
  <si>
    <t>Юбка, 0,5 мм (поставляется в комплекте с крышной разделкой)</t>
  </si>
  <si>
    <t>Фланец, 0,5 мм</t>
  </si>
  <si>
    <t>Потолочно-проходные устройства</t>
  </si>
  <si>
    <t>Диаметр трубы дымохода, мм</t>
  </si>
  <si>
    <t>Потолочно-проходной узел Круг, 0,5 мм **</t>
  </si>
  <si>
    <t>ППУ Круг Термо, 0,5 мм **</t>
  </si>
  <si>
    <t>ППУ-Н (минерит) **</t>
  </si>
  <si>
    <t>* - ММ - "Мама-мама" - оба конца элемента с расширенным раструбом, ПП - "Папа-папа" - оба конца элемента с зауженным раструбом
К - "по конденсату" - сборка элементов производится по принципу, когда верхняя часть трубы вводится в нижнюю (соединение "папа-мама")
Д - "по дыму" - сборка элементов производится по принципу, когда верхняя часть трубы одевается сверху на нижнюю (соединением "мама-папа")</t>
  </si>
  <si>
    <t>ППУ составной</t>
  </si>
  <si>
    <t>** - диаметр отверстия под трубу на 5 мм больше, чем труба дымохода</t>
  </si>
  <si>
    <t>С полным ассортиментом дымоходов можете ознакомиться на сайте www.feflues.ru.</t>
  </si>
  <si>
    <t>Все цены указаны с НДС.</t>
  </si>
  <si>
    <t>Мансардные окна Fakro</t>
  </si>
  <si>
    <t>Размер (ширина х высота, см)</t>
  </si>
  <si>
    <t>55х78</t>
  </si>
  <si>
    <t>55х98</t>
  </si>
  <si>
    <t>66х98</t>
  </si>
  <si>
    <t>66х118</t>
  </si>
  <si>
    <t>78х98</t>
  </si>
  <si>
    <t>78х118</t>
  </si>
  <si>
    <t>78х140</t>
  </si>
  <si>
    <t>78х160</t>
  </si>
  <si>
    <t>94х118</t>
  </si>
  <si>
    <t>94х140</t>
  </si>
  <si>
    <t>114х118</t>
  </si>
  <si>
    <t>114х140</t>
  </si>
  <si>
    <t>134х98</t>
  </si>
  <si>
    <t>Изоляционные оклады для окон со среднеповоротным открыванием, окон с комбинированной системой открывания и эвакуационных окон</t>
  </si>
  <si>
    <t>Окно для выхода на крышу (для жилых помещений)</t>
  </si>
  <si>
    <t>Окно-люк WSZ с крышкой из поликарбоната с универсальным окладом 54х75</t>
  </si>
  <si>
    <t>Окно-люк WGI с крышкой оснащенной стеклопакетом с универсальным окладом 46х55</t>
  </si>
  <si>
    <t>Окно-люк WSZ с крышкой из поликарбоната с универсальным окладом  86х86</t>
  </si>
  <si>
    <t>Окно-люк WGI с крышкой оснащенной стеклопакетом с универсальным окладом 46х75</t>
  </si>
  <si>
    <t>Изоляционные оклады для распашного термоизоляционного окна</t>
  </si>
  <si>
    <t>Оклад EZW-P для профилированных кровельных материалов</t>
  </si>
  <si>
    <t>Изоляционные оклады для каминных труб</t>
  </si>
  <si>
    <t>Оклад для труб GZK-AV универсальный 95х180</t>
  </si>
  <si>
    <t>Оклад для труб GZK-AS 38х100</t>
  </si>
  <si>
    <t>Оклад для труб GZK-AS 51х100</t>
  </si>
  <si>
    <t xml:space="preserve">Удлиняющий модуль GZM для GZK-AS 38 и GZK-AS 51 (до 100 см) </t>
  </si>
  <si>
    <t>Аксессуары для быстрого и качественного монтажа окон для крыши</t>
  </si>
  <si>
    <t xml:space="preserve">Дополнительный теплоизоляционный пояс XWT </t>
  </si>
  <si>
    <t>Аксессуары для окон</t>
  </si>
  <si>
    <t>Наружная маркиза AMZ NEW LINE для всех окон FT и FPP группа I (10% ветопропускание)</t>
  </si>
  <si>
    <t>Москитная сетка AMS</t>
  </si>
  <si>
    <t>Замок для дополнительной защиты от вскрытия и несанкционированного открывания окна ZBL</t>
  </si>
  <si>
    <t>Стержень для открывания высокорасположенных окон телескопический ZST 119-218 см (универсальный для окон и аксессуаров ARS, ARF, AJP)</t>
  </si>
  <si>
    <t>Чердачные лестницы</t>
  </si>
  <si>
    <t>Наименование / Размер (ширина х высота по люку, см)</t>
  </si>
  <si>
    <t>60x94x280</t>
  </si>
  <si>
    <t>60х100х280</t>
  </si>
  <si>
    <t>60х120х280</t>
  </si>
  <si>
    <t>60х130х305</t>
  </si>
  <si>
    <t>60х140х305</t>
  </si>
  <si>
    <t>70x94x280</t>
  </si>
  <si>
    <t>70х100х280</t>
  </si>
  <si>
    <t>70х120х280</t>
  </si>
  <si>
    <t>70х130х280 /70х130х270</t>
  </si>
  <si>
    <t>70х130х305</t>
  </si>
  <si>
    <t>70х140х280</t>
  </si>
  <si>
    <t>70х140х305</t>
  </si>
  <si>
    <t xml:space="preserve">Лестница LMS  - складная, металлическая лестница, термоизоляционая крышка облицованная ДВП бежевого цвета. </t>
  </si>
  <si>
    <t>Лестница THERMO LTK - складная, деревянная, термоизоляционая крышка облицованная ДВП белого цвета, толщиной 66мм. Лестница укомплектована поручнем</t>
  </si>
  <si>
    <t>Лестинца суперэнергосберегающая LWT-складная, суперэнергосберегающая крышка облицованная ДВП белого цвета, толщиной крышки с утеплителем 80мм. Лестница укомплекотована поручнем и пластиковыми наконечниками</t>
  </si>
  <si>
    <t>Наконечник LXS на ножки лестниц</t>
  </si>
  <si>
    <t>Монтажный комплект LXK</t>
  </si>
  <si>
    <t>50х80х280</t>
  </si>
  <si>
    <t>50х70х300</t>
  </si>
  <si>
    <t>60х90х280</t>
  </si>
  <si>
    <t>60х90х300</t>
  </si>
  <si>
    <t>60х120х300</t>
  </si>
  <si>
    <t>70х80х280</t>
  </si>
  <si>
    <t>70х80х300</t>
  </si>
  <si>
    <t>70х110х300</t>
  </si>
  <si>
    <t>70х120х300</t>
  </si>
  <si>
    <t>Доп. Ступень LSS</t>
  </si>
  <si>
    <t>Металлическая огнестойкая лестница LSF</t>
  </si>
  <si>
    <t>Металлическая термоизоляционная лестница LST</t>
  </si>
  <si>
    <t>* - продукция есть на складе</t>
  </si>
  <si>
    <t>Все цены указаны с НДС на складе завода Grand Line</t>
  </si>
  <si>
    <t>Весь ассортимент продукции FAKRO смотрите в каталоге фирмы-производителя</t>
  </si>
  <si>
    <t>Окна, оклады, лестницы</t>
  </si>
  <si>
    <t>Мансардные окна VELUX</t>
  </si>
  <si>
    <t>С02</t>
  </si>
  <si>
    <t>С04</t>
  </si>
  <si>
    <t>F04</t>
  </si>
  <si>
    <t>F06</t>
  </si>
  <si>
    <t>M04</t>
  </si>
  <si>
    <t>M06</t>
  </si>
  <si>
    <t>M08</t>
  </si>
  <si>
    <t>M10</t>
  </si>
  <si>
    <t>P06</t>
  </si>
  <si>
    <t>P08</t>
  </si>
  <si>
    <t>S06</t>
  </si>
  <si>
    <t>S08</t>
  </si>
  <si>
    <t>55x98</t>
  </si>
  <si>
    <t>66x98</t>
  </si>
  <si>
    <t>Изоляционные оклады и комплекты для гидро- и теплоизоляции</t>
  </si>
  <si>
    <t>Оклад EDW 2000 (оклад +BDX) для профилированной кровли</t>
  </si>
  <si>
    <t>Оклад EDW 0000 для профилированной кровли</t>
  </si>
  <si>
    <t>Оклад EDS 0000 для плоской кровли</t>
  </si>
  <si>
    <t>OPTIMA мансардные окна</t>
  </si>
  <si>
    <t>СR02</t>
  </si>
  <si>
    <t>СR04</t>
  </si>
  <si>
    <t>FR04</t>
  </si>
  <si>
    <t>FR06</t>
  </si>
  <si>
    <t>MR04</t>
  </si>
  <si>
    <t>MR06</t>
  </si>
  <si>
    <t>MR08</t>
  </si>
  <si>
    <t>MR10</t>
  </si>
  <si>
    <t>PR06</t>
  </si>
  <si>
    <t>PR08</t>
  </si>
  <si>
    <t>SR06</t>
  </si>
  <si>
    <t>SR08</t>
  </si>
  <si>
    <t>Площадь остекления, кв.м.</t>
  </si>
  <si>
    <t>Класс Стандарт</t>
  </si>
  <si>
    <t>GZR 3050 (модель "ручка сверху" дерево)</t>
  </si>
  <si>
    <t>GZR 3050B (модель "ручка снизу" дерево) для высоких пристенков</t>
  </si>
  <si>
    <t>Класс Комфорт</t>
  </si>
  <si>
    <t>GLR 3073IS (модель "ручка сверху" дерево)</t>
  </si>
  <si>
    <t>GLR 3073BIS  (модель "ручка снизу" дерево) для высоких пристенков</t>
  </si>
  <si>
    <t>GLR 3073BTIS (модель "универсал:две ручки" дерево)</t>
  </si>
  <si>
    <t>GLP 0073BIS (модель"белый пластик:ручка снизу")для высоких пристенков</t>
  </si>
  <si>
    <t>Аксессуары для электроуправления</t>
  </si>
  <si>
    <t>Комплект для модернизации AMC 100</t>
  </si>
  <si>
    <t>OPTIMA установка и отделка</t>
  </si>
  <si>
    <t>Водонепроницаемый оклад</t>
  </si>
  <si>
    <t>Оклад EWR 0000 для проф. кровли (высота волны до 120мм)</t>
  </si>
  <si>
    <t>Оклад ESR 0000 для плоской кровли (толщина мат-ла - до 16 мм)</t>
  </si>
  <si>
    <t xml:space="preserve">Оклад для окна GRR 1050 </t>
  </si>
  <si>
    <t>Гидро- и теплоизоляция</t>
  </si>
  <si>
    <t>Гидро- и теплоизоляция BDX 2000</t>
  </si>
  <si>
    <t>Гидроизоляция BFX 1000</t>
  </si>
  <si>
    <t>Пароизоляция BBX 0000</t>
  </si>
  <si>
    <t>Качественная внутренняя отделка</t>
  </si>
  <si>
    <t xml:space="preserve">Откосы LSC 2000 (пароизоляция в комплекте) </t>
  </si>
  <si>
    <t>Оклады для комбинированной установки окон OPTIMA</t>
  </si>
  <si>
    <t>Оклад EWK 0021</t>
  </si>
  <si>
    <t>Оклад ESK 0021</t>
  </si>
  <si>
    <t>Выход на кровлю</t>
  </si>
  <si>
    <t>Выход на кровлю GVT 0059 103 (54х83)</t>
  </si>
  <si>
    <t>Выход на кровлю VLT 1000 025 (45х55)</t>
  </si>
  <si>
    <t>Выход на кровлю VLT 1000 029 (45х73)</t>
  </si>
  <si>
    <t>Выход на кровлю VLT 1000 033 (85х85)</t>
  </si>
  <si>
    <t>Модель/Размер</t>
  </si>
  <si>
    <t>120х60</t>
  </si>
  <si>
    <t>120х70</t>
  </si>
  <si>
    <t>92,5х60</t>
  </si>
  <si>
    <t>92,5х70</t>
  </si>
  <si>
    <t>Доп. секция ZLL 116</t>
  </si>
  <si>
    <t>Доп. секция ZLL 118</t>
  </si>
  <si>
    <t>Доп. секция ZLL 119</t>
  </si>
  <si>
    <t>Поручень ZLL 112</t>
  </si>
  <si>
    <r>
      <t xml:space="preserve">Лестница Velta </t>
    </r>
    <r>
      <rPr>
        <b/>
        <sz val="10"/>
        <rFont val="Arial Cyr"/>
        <charset val="204"/>
      </rPr>
      <t xml:space="preserve">"Эконом" </t>
    </r>
    <r>
      <rPr>
        <sz val="10"/>
        <rFont val="Arial Cyr"/>
        <charset val="204"/>
      </rPr>
      <t>NLL2610В-складная, деревянная, неутепленная неокрашенная крышка люка из обработанной ДСП, 16 мм. Комплект: пластиковые наконечники</t>
    </r>
  </si>
  <si>
    <r>
      <t xml:space="preserve">Лестница Velta </t>
    </r>
    <r>
      <rPr>
        <b/>
        <sz val="10"/>
        <rFont val="Arial Cyr"/>
        <charset val="204"/>
      </rPr>
      <t>"Престиж"</t>
    </r>
    <r>
      <rPr>
        <sz val="10"/>
        <rFont val="Arial Cyr"/>
        <charset val="204"/>
      </rPr>
      <t xml:space="preserve"> NLL7630-складная, деревянная, с белой утепленной крышкой люка из МДФ, 76 мм. Комплект: белые наконечники, пластиковые наконечники, поручень, стержень для открывания</t>
    </r>
  </si>
  <si>
    <r>
      <t xml:space="preserve">Лестница Velta </t>
    </r>
    <r>
      <rPr>
        <b/>
        <sz val="10"/>
        <rFont val="Arial Cyr"/>
        <charset val="204"/>
      </rPr>
      <t>"Стандарт"</t>
    </r>
    <r>
      <rPr>
        <sz val="10"/>
        <rFont val="Arial Cyr"/>
        <charset val="204"/>
      </rPr>
      <t xml:space="preserve"> NLL3610-складная, деревянная, 3 секции ClickFix. Комплект: насадки на ножки, стержень для открывания​</t>
    </r>
  </si>
  <si>
    <r>
      <t xml:space="preserve">Лестница Velta </t>
    </r>
    <r>
      <rPr>
        <b/>
        <sz val="10"/>
        <rFont val="Arial Cyr"/>
        <charset val="204"/>
      </rPr>
      <t>"Стандарт-Компакт"</t>
    </r>
    <r>
      <rPr>
        <sz val="10"/>
        <rFont val="Arial Cyr"/>
        <charset val="204"/>
      </rPr>
      <t xml:space="preserve"> NLL3620-складная, деревянная, 4 секции ClickFix. Комплект: насадки на ножки, стержень для открывания​</t>
    </r>
  </si>
  <si>
    <r>
      <t xml:space="preserve">Лестница Velta </t>
    </r>
    <r>
      <rPr>
        <b/>
        <sz val="10"/>
        <rFont val="Arial Cyr"/>
        <charset val="204"/>
      </rPr>
      <t>"Уют"</t>
    </r>
    <r>
      <rPr>
        <sz val="10"/>
        <rFont val="Arial Cyr"/>
        <charset val="204"/>
      </rPr>
      <t xml:space="preserve">  NLL5620-складная, деревянная, 3 секции ClickFix. Комплект: насадки на ножки, стержень для открывания​, поручень</t>
    </r>
  </si>
  <si>
    <t>** - на складе до окончания остатков</t>
  </si>
  <si>
    <t>Срок доставки на складские позиции - 3 дня, на заказные - уточняйте у менеджера</t>
  </si>
  <si>
    <t>ВНИМАНИЕ! Нельзя комбинировать окна и оклады старого и нового поколения</t>
  </si>
  <si>
    <t>Весь ассортимент продукции VELUX смотрите в каталоге фирмы-производителя</t>
  </si>
  <si>
    <t>Окна, оклады, выходы на крышу Премиум</t>
  </si>
  <si>
    <t>Окна, оклады, откосы Комфорт</t>
  </si>
  <si>
    <t>Окна, оклады Стандарт</t>
  </si>
  <si>
    <t>Чердачные лестницы и выходы на кровлю</t>
  </si>
  <si>
    <t>PREMIUM мансардные окна</t>
  </si>
  <si>
    <t>СK02</t>
  </si>
  <si>
    <t>СK04</t>
  </si>
  <si>
    <t>FK04</t>
  </si>
  <si>
    <t>FK06</t>
  </si>
  <si>
    <t>MK04</t>
  </si>
  <si>
    <t>MK06</t>
  </si>
  <si>
    <t>MK08</t>
  </si>
  <si>
    <t>MK10</t>
  </si>
  <si>
    <t>PK06</t>
  </si>
  <si>
    <t>PK08</t>
  </si>
  <si>
    <t>SK06</t>
  </si>
  <si>
    <t>SK08</t>
  </si>
  <si>
    <t xml:space="preserve">VELUX GGL 3070 (модель "классика дерево") </t>
  </si>
  <si>
    <t xml:space="preserve">VELUX GGU 0070 (модель "классика полиуретан") </t>
  </si>
  <si>
    <t xml:space="preserve">VELUX GGL 3086IS2 (модель "супертеплое дерево") </t>
  </si>
  <si>
    <t>VELUX GPL 3070 (модель "панорама дерево")</t>
  </si>
  <si>
    <t>VELUX GPU 0070 (модель "панорама полиуретан")</t>
  </si>
  <si>
    <t>VELUX INTEGRA GGL 307021 (модель "с дист. упр. дерево")</t>
  </si>
  <si>
    <t>VELUX INTEGRA GGU 007021 (модель "с дист. упр. полиуретан")</t>
  </si>
  <si>
    <t>PREMIUM установка и отделка</t>
  </si>
  <si>
    <t>Водонепроницаемый оклад в комплекте с гидро- и теплоизоляцией</t>
  </si>
  <si>
    <t>Оклад EDW 2000 для профилированной кровли (высота волны - до 120 мм)</t>
  </si>
  <si>
    <t>Оклад EDS 2000 для плоской кровли (толщина мат-ла - до 16 мм)</t>
  </si>
  <si>
    <t xml:space="preserve">Оклады для комбинированной установки окон PREMIUM </t>
  </si>
  <si>
    <t>Оклад EKW 0021</t>
  </si>
  <si>
    <t>Оклад EKS 0021</t>
  </si>
  <si>
    <t>Карнизное окно, доп. элементы, окно-балкон, выход на кровлю</t>
  </si>
  <si>
    <t>Аварийный выход на кровлю GTL 3070</t>
  </si>
  <si>
    <t>Выход на кровлю GXL 3070</t>
  </si>
  <si>
    <t>МК31</t>
  </si>
  <si>
    <t>МК34</t>
  </si>
  <si>
    <t>МК35</t>
  </si>
  <si>
    <t>МК04</t>
  </si>
  <si>
    <t>МК06</t>
  </si>
  <si>
    <t>МК08</t>
  </si>
  <si>
    <t>МК10</t>
  </si>
  <si>
    <t>РК08</t>
  </si>
  <si>
    <t>РК31</t>
  </si>
  <si>
    <t>РК34</t>
  </si>
  <si>
    <t>РК35</t>
  </si>
  <si>
    <t>РК19</t>
  </si>
  <si>
    <t>SK31</t>
  </si>
  <si>
    <t>SK35</t>
  </si>
  <si>
    <t>SK19</t>
  </si>
  <si>
    <t>78х60</t>
  </si>
  <si>
    <t>78х92</t>
  </si>
  <si>
    <t>78х95</t>
  </si>
  <si>
    <t>94х60</t>
  </si>
  <si>
    <t>94х92</t>
  </si>
  <si>
    <t>94х95</t>
  </si>
  <si>
    <t>94х252</t>
  </si>
  <si>
    <t>114х60</t>
  </si>
  <si>
    <t>114х95</t>
  </si>
  <si>
    <t>114х252</t>
  </si>
  <si>
    <t>Доп. элемент GIL 3073</t>
  </si>
  <si>
    <t>Окно-балкон GDL 3066</t>
  </si>
  <si>
    <t>Оклад EDW 0000 для окна-балкона для плоских кровель</t>
  </si>
  <si>
    <t>Оклад EDS 0000 для окна-балкона для профилированных кровель</t>
  </si>
  <si>
    <t xml:space="preserve">Карнизное окно VFE 3073 </t>
  </si>
  <si>
    <t>Карнизное окно EFW 0012</t>
  </si>
  <si>
    <t>Карнизное окно EFS 0012</t>
  </si>
  <si>
    <t>Шторы, жалюзи, рольставни</t>
  </si>
  <si>
    <t>Рулонная штора RFL на направл. 1028, 1086, 4000</t>
  </si>
  <si>
    <t>Рулонная штора RHL на крючках 1028, 1086, 4000, 9050</t>
  </si>
  <si>
    <t>Рулонная штора RML с электропр. 1028, 1086, 4000</t>
  </si>
  <si>
    <t xml:space="preserve">Штора "Сиеста" DKL </t>
  </si>
  <si>
    <t>Штора "Дуо" DFD</t>
  </si>
  <si>
    <t>Жалюзи PAL</t>
  </si>
  <si>
    <t>Маркизет к Velux Optima MIV</t>
  </si>
  <si>
    <t>Маркизет к Velux Premium MHL</t>
  </si>
  <si>
    <t>Рольставни электр. SML</t>
  </si>
  <si>
    <t>Москитная сетка ZIL</t>
  </si>
  <si>
    <t>Аксессуары, ручное управление</t>
  </si>
  <si>
    <t>Стержень ZCT 200K (102-183 см)</t>
  </si>
  <si>
    <t>Доп.элемент ZCT 100 для ZCT 200K</t>
  </si>
  <si>
    <t>Стержень ZCZ 080К</t>
  </si>
  <si>
    <t>Адаптер ZOZ 040</t>
  </si>
  <si>
    <t>Адаптер ZOZ 085</t>
  </si>
  <si>
    <t>Окна, оклады, выходы на крышу, карнизные окна и окна-балконы Премиум</t>
  </si>
  <si>
    <t>Окна, оклады, откосы, выходы на кровлю Комфорт</t>
  </si>
  <si>
    <t>Окна, оклады Эконом</t>
  </si>
  <si>
    <t>Размеры изделия*, мм</t>
  </si>
  <si>
    <t>Цена руб./шт.</t>
  </si>
  <si>
    <t>Размеры изделия, мм</t>
  </si>
  <si>
    <t>Серия «Люкс»</t>
  </si>
  <si>
    <t>ДЫМНИК-ФЛЮГЕР ВИНДВУДУ на трубу</t>
  </si>
  <si>
    <t>Стильные штучки для дома и дачи</t>
  </si>
  <si>
    <t>Флюгер Люкс большой</t>
  </si>
  <si>
    <t>950 x 300</t>
  </si>
  <si>
    <t>Флюгер-дымник Аист, Дракон, Орел 
110-130 и 130-150</t>
  </si>
  <si>
    <t>Для каждого вида свой</t>
  </si>
  <si>
    <t xml:space="preserve">  Таблички </t>
  </si>
  <si>
    <t>330 х 250 х 1</t>
  </si>
  <si>
    <t>Флюгер-дымник Аист, Дракон, Орел 
150-170 и 170-190</t>
  </si>
  <si>
    <t>Серия «Оптимус»</t>
  </si>
  <si>
    <t>Флюгер-дымник Аист, Дракон, Орел 
200-230 и 230-250</t>
  </si>
  <si>
    <t>Крючок-сплит</t>
  </si>
  <si>
    <t>100 х 50 х 20</t>
  </si>
  <si>
    <t>Флюгер большой</t>
  </si>
  <si>
    <t>810 х 350</t>
  </si>
  <si>
    <t>Флюгер-дымник Аист, Дракон, Орел 
250-280 и 280-300</t>
  </si>
  <si>
    <t>Указатель ветра большой</t>
  </si>
  <si>
    <t>1100 х 400</t>
  </si>
  <si>
    <t>КОЛПАК ПАРАДНЫЙ ВИНДВУДУ на забор</t>
  </si>
  <si>
    <t>Крючки двухрожковые</t>
  </si>
  <si>
    <t>90 х 75 х 23</t>
  </si>
  <si>
    <t xml:space="preserve">  КОЛПАК ПАРАДНЫЙ «ВИНДВУДУ» 
Аист, Дракон, Орел</t>
  </si>
  <si>
    <t>Флюгер большой "эконом"</t>
  </si>
  <si>
    <t>Колпаки-дефлекторы ВИНДВУДУ на вентиляционный выход</t>
  </si>
  <si>
    <t>Крючки трехрожковые</t>
  </si>
  <si>
    <t>90 х 170 х 23</t>
  </si>
  <si>
    <t>Колпак-дефлекор "Виндвуду" 
Аист, Дракон, Орел 
для неизолированных вент.выходов с внешним диаметром 110 мм
Цвета: RАL8004 Кирпичный, RAL8017 Коричневый, RAL6005 Зеленый, RAL9005 Черный</t>
  </si>
  <si>
    <t>Серия «Подарочный»</t>
  </si>
  <si>
    <t>Крючки четырехрожковые</t>
  </si>
  <si>
    <t>Флюгер малый</t>
  </si>
  <si>
    <t>650 х 220</t>
  </si>
  <si>
    <t>Колпак-дефлекор "Виндвуду" 
Аист, Дракон, Орел 
для изолированных вент.выходов с внешним диаметром 160 мм
Цвета: RАL8004 Кирпичный, RAL8017 Коричневый, RAL6005 Зеленый, RAL9005 Черный</t>
  </si>
  <si>
    <t>Ключницы</t>
  </si>
  <si>
    <t>90 х 190 х 18</t>
  </si>
  <si>
    <t>Указатель ветра малый</t>
  </si>
  <si>
    <t>800 х 250</t>
  </si>
  <si>
    <t>Подсумочник (держатель для сумки)</t>
  </si>
  <si>
    <t>110 х 100 х 20</t>
  </si>
  <si>
    <t>Крепления дополнительные</t>
  </si>
  <si>
    <t>Держатели для цветов и кронштейны</t>
  </si>
  <si>
    <t>Термометр уличный</t>
  </si>
  <si>
    <t>330 х 220 х 6</t>
  </si>
  <si>
    <t>Крепление универсальное</t>
  </si>
  <si>
    <t>30 x 150 x 550</t>
  </si>
  <si>
    <t xml:space="preserve">Держатель для цветов </t>
  </si>
  <si>
    <t>325 х 200 х 35</t>
  </si>
  <si>
    <t>Крепление винтовое на конек (для серии Оптимус)</t>
  </si>
  <si>
    <t>25 x 105 x 370</t>
  </si>
  <si>
    <t>Кронштейн</t>
  </si>
  <si>
    <t>400 х 270 х 3,5</t>
  </si>
  <si>
    <t>Термометр комнатный</t>
  </si>
  <si>
    <t>95х150х6</t>
  </si>
  <si>
    <t>Крепление винтовое на конек (для серии Подарочный)</t>
  </si>
  <si>
    <t>Комплекты ФЛАГИ</t>
  </si>
  <si>
    <t>Комплект № 1: Флаг - 1 шт., Древко - 2 шт., Кронштейн настенный "Классика" двойной, Георгий, черный</t>
  </si>
  <si>
    <t>Цифры высотой 70 мм</t>
  </si>
  <si>
    <t>70 х 65 х 3</t>
  </si>
  <si>
    <t>Крепление на дымник  (для серии Оптимус)</t>
  </si>
  <si>
    <t>30 x 110 x 600</t>
  </si>
  <si>
    <t>Комплект №2: Флаг - 1 шт., Древко - 3 шт., Кронштейн настенный "Классика" тройной, Орел, черный</t>
  </si>
  <si>
    <t>Цифры высотой 110 мм</t>
  </si>
  <si>
    <t>110 х 102 х 3</t>
  </si>
  <si>
    <t>Крепление на колпак (для серии Подарочный)</t>
  </si>
  <si>
    <t>Комплект №3: Флаг - 1 шт., Древко - 1 шт., Кронштейн настенный "Элегант" Георгий, одинарный, щит красный/георгий золото</t>
  </si>
  <si>
    <t>Информационные знаки</t>
  </si>
  <si>
    <t>D 100</t>
  </si>
  <si>
    <t>Для флюгера большого Люкс в комплекте крепление на конек.
Крепление на фронтон входит в комплект:
- флюгера большого Оптимус
- указателя ветра большого Оптимус
- флюгера малого Падарочный
- указателя ветра малого Подарочный</t>
  </si>
  <si>
    <t>Комплект №4: Флаг - 1 шт., Древко - 1 шт., Кронштейн настенный "Элегант" Орел, одинарный, щит красный/орел золото</t>
  </si>
  <si>
    <t>Информационные знаки на штоке</t>
  </si>
  <si>
    <t>Н 1500, 
D 390</t>
  </si>
  <si>
    <t>Все цены указаны с учетом НДС.</t>
  </si>
  <si>
    <t>* - Для флюгеров и указателей ветра указаны размеры в собранном виде</t>
  </si>
  <si>
    <t>Полый ассортимент продукции «Duck and Dog®» уточняйте у менеджера.</t>
  </si>
  <si>
    <t>** - Для флюгеров-дымников указан диаметр выходного отверстия трубы</t>
  </si>
  <si>
    <t xml:space="preserve">Флюгеры «Duck and Dog» </t>
  </si>
  <si>
    <t xml:space="preserve">Размер трубы / столба, мм * </t>
  </si>
  <si>
    <t>OPTIMA</t>
  </si>
  <si>
    <t>GRAND LINE</t>
  </si>
  <si>
    <t>Ре 0,45</t>
  </si>
  <si>
    <t>Ре 0,35 
RAL 3005, 6005, 8017 ****</t>
  </si>
  <si>
    <t>Colority® Print</t>
  </si>
  <si>
    <t>Safari®</t>
  </si>
  <si>
    <t>Quarzit Lite</t>
  </si>
  <si>
    <t>Atlas®</t>
  </si>
  <si>
    <t>Drap®</t>
  </si>
  <si>
    <t>Satin®</t>
  </si>
  <si>
    <t>Расчетная цена для дымника</t>
  </si>
  <si>
    <t>Дымники (колпаки на трубы, флюгарка) **</t>
  </si>
  <si>
    <t>Дымник с сеткой</t>
  </si>
  <si>
    <t>Дымник с жалюзи</t>
  </si>
  <si>
    <t>Дымники двойные</t>
  </si>
  <si>
    <t>Расчетная цена для колпака</t>
  </si>
  <si>
    <t>Колпаки на столбы ***</t>
  </si>
  <si>
    <t>Колпаки под фонарь</t>
  </si>
  <si>
    <t>Колпаки двойные</t>
  </si>
  <si>
    <t>* - размеры указываются кратно 5 мм (0,5 см), возможность изготовления издений свыше 2,5х1,5м уточняйте у менеджера</t>
  </si>
  <si>
    <t>** - возможно изготовление дымников с жалюзи, сеткой и по чертежам заказчика. Срок изготовления и стоимость изделий уточняйте у менеджера по продажам.</t>
  </si>
  <si>
    <t>*** - возможно изготовление колпаков по чертежам заказчика. Срок изготовления и стоимость изделий уточняйте у менеджера по продажам.</t>
  </si>
  <si>
    <t>**** - дымник "Optima" в покрытии РЕ 0,35 изготавливается в цветах RAL 3005, 6005, 8017.</t>
  </si>
  <si>
    <t>***** - Возможно изготовление основания изделия с капельником/без капельника. Подробности уточняйте у менеджера.</t>
  </si>
  <si>
    <t>Дымники в покрытии PE 0,35 и Цинк 0,35 отличаются по исполнению от дымников в других покрытиях.</t>
  </si>
  <si>
    <t>Доставка всех дымников и колпаков осуществляется из Калужской области.</t>
  </si>
  <si>
    <r>
      <rPr>
        <b/>
        <sz val="10"/>
        <rFont val="Arial Cyr"/>
        <charset val="204"/>
      </rPr>
      <t xml:space="preserve">Внимание! </t>
    </r>
    <r>
      <rPr>
        <sz val="10"/>
        <rFont val="Arial Cyr"/>
        <charset val="204"/>
      </rPr>
      <t>Колпаки с размером одной из сторон столба менее 300 мм изготавливаются с наценкой 30%.</t>
    </r>
  </si>
  <si>
    <t>Колпаки с размером одной из сторон столба более 1000 мм изготавливаются с наценкой 50%.</t>
  </si>
  <si>
    <t>Колпаки с размером одной из сторон столба более 3000 мм изготавливаются с наценкой 100%.</t>
  </si>
  <si>
    <t>Для расчета стоимости дымника или колпака укажите размеры столба или трубы в мм кратно 5 мм (0,5 см). Значения размеров укажите в ячейках, закрашенных зеленым цветом.</t>
  </si>
  <si>
    <t>При указании размеров дымника или колпака на столб просьба учитывать: неровности кладки, ассиметрию трубы или столба. ля предотвращения сложностей установки дымника и колпака производитель может незначительно увеличить заявленные размеры периметра изделия.</t>
  </si>
  <si>
    <r>
      <t xml:space="preserve">При расчете стоимости дымника или колпака вручную нужно: </t>
    </r>
    <r>
      <rPr>
        <sz val="10"/>
        <rFont val="Arial Cyr"/>
        <charset val="204"/>
      </rPr>
      <t>складываете ширину и длину трубы или столба в м и умножаете на расчетную цену покрытия (равна стоимости изделия размером 500х500 мм). В итоге получается стоимость 1 изделия в рублях.</t>
    </r>
  </si>
  <si>
    <t>Дымники</t>
  </si>
  <si>
    <t>Колпаки</t>
  </si>
  <si>
    <t>2.1. ЦИНК: фальцевая кровля, профнастил, плоский лист</t>
  </si>
  <si>
    <t>Ширина профиля общаяя/полезная, мм</t>
  </si>
  <si>
    <t>Длины листа (мин. - макс.), м</t>
  </si>
  <si>
    <t xml:space="preserve">Толщина металла, мм </t>
  </si>
  <si>
    <t xml:space="preserve">Двойной стоячий фальц / Profi </t>
  </si>
  <si>
    <t>625 / 550</t>
  </si>
  <si>
    <t>1,2 - 9</t>
  </si>
  <si>
    <t xml:space="preserve">Кликфальц / Profi </t>
  </si>
  <si>
    <t>542 / 510</t>
  </si>
  <si>
    <t>Обн.: 334 / 310 СПб: 334/307</t>
  </si>
  <si>
    <t>1200 / 1160</t>
  </si>
  <si>
    <t>0,5 - 8</t>
  </si>
  <si>
    <t>1180 / 1150</t>
  </si>
  <si>
    <t>Профнастил С10 Фигурный</t>
  </si>
  <si>
    <t>1,5 - 3</t>
  </si>
  <si>
    <t>1051 / 1000</t>
  </si>
  <si>
    <t>0,5 - 12</t>
  </si>
  <si>
    <t>1060 / 1000</t>
  </si>
  <si>
    <t>902 / 845</t>
  </si>
  <si>
    <t>800 / 750</t>
  </si>
  <si>
    <t>Плоский лист, штрипс и отмотка</t>
  </si>
  <si>
    <t>Плоский лист - Штрипс - Отмотка **</t>
  </si>
  <si>
    <t>1250 / - / &lt;=1250 / -</t>
  </si>
  <si>
    <t>0,5/7,99 - 0,5/400 - 8/400</t>
  </si>
  <si>
    <t>DRIPSTOP - антиконденсатное покрытие (пн, гл) (на заказы менее 50 кв.м. DRIPSTOP не наносится!)</t>
  </si>
  <si>
    <t>Коэфф. расчета Dripsrop на 1 кв.м. С20 - 1,043 НС35 - 1,132 Н60 - 1,330 Н75 - 1,500</t>
  </si>
  <si>
    <t>ЦИНК: доборные элементы для кровельных систем, ограждений и фасадов, стандартная длина 2м и 3м</t>
  </si>
  <si>
    <t>Ширина загоровки, мм</t>
  </si>
  <si>
    <t>0,4-0,55</t>
  </si>
  <si>
    <t>Доборные элементы для кровли</t>
  </si>
  <si>
    <t>Вентиллируемая обрешетка, стандартная длина 3м и 4м</t>
  </si>
  <si>
    <t>Конек полукруглый, длина только 1,97 м</t>
  </si>
  <si>
    <t>Металлическая вентилируемая обрешетка  0,6 мм / 0,7 мм</t>
  </si>
  <si>
    <t>Конек полукруглый малый, длина только 1,97 м</t>
  </si>
  <si>
    <t>Доборные элементы для ограждений</t>
  </si>
  <si>
    <t>Доборные элементы сайдинга Корабельная доска и Вертикаль GL</t>
  </si>
  <si>
    <t>Планка П-образная 20*30 мм /заверш.сложная/</t>
  </si>
  <si>
    <t>Планка начальная, 3 м</t>
  </si>
  <si>
    <t>Планка угла внутреннего 50*50 мм</t>
  </si>
  <si>
    <t>Планка угла внутреннего сложного 75 мм</t>
  </si>
  <si>
    <t>Планка угла внешнего 50*50 мм</t>
  </si>
  <si>
    <r>
      <t>внакладку 25х17х35х17</t>
    </r>
    <r>
      <rPr>
        <sz val="10"/>
        <color indexed="10"/>
        <rFont val="Arial Cyr"/>
        <charset val="204"/>
      </rPr>
      <t/>
    </r>
  </si>
  <si>
    <t>Планка угла внешнего сложного 75*75 мм</t>
  </si>
  <si>
    <t>Планка завершающая, 65 мм</t>
  </si>
  <si>
    <t>Планка стыковочная, 60 мм</t>
  </si>
  <si>
    <t>Планка Н-образная 75 мм /стыков.сложная/</t>
  </si>
  <si>
    <t>Планка угла внешнего 110*110 мм</t>
  </si>
  <si>
    <t>Планка угла внешнего простая 30*30 мм</t>
  </si>
  <si>
    <t>Планка для внутренних углов 110*110 мм</t>
  </si>
  <si>
    <t>Планка угла внутреннего простая 30*30 мм</t>
  </si>
  <si>
    <t>Планка угла внутреннего сложная 90º</t>
  </si>
  <si>
    <t>Планка лобовая / околооконная простая 190х50 2м/3м</t>
  </si>
  <si>
    <t>Околооконная планка простая 200х75 мм</t>
  </si>
  <si>
    <t>Околооконная планка простая 250х50 мм</t>
  </si>
  <si>
    <t>Околооконная планка простая 250х75 мм</t>
  </si>
  <si>
    <t>Околооконная планка сложная 200х50 мм</t>
  </si>
  <si>
    <t>Околооконная планка сложная 200х75 мм</t>
  </si>
  <si>
    <t>Околооконная планка сложная 250х50 мм</t>
  </si>
  <si>
    <t>Околооконная планка сложная 250х75 мм</t>
  </si>
  <si>
    <t>Отлив простой 50 мм</t>
  </si>
  <si>
    <t>Отлив простой 100 мм</t>
  </si>
  <si>
    <t>Отлив простой 150 мм</t>
  </si>
  <si>
    <t>Планка финишная 46х25</t>
  </si>
  <si>
    <t>Отлив простой 200 мм</t>
  </si>
  <si>
    <t>Отлив простой 250 мм</t>
  </si>
  <si>
    <t>Доборные элементы фасадных фальцевых картин GL</t>
  </si>
  <si>
    <t xml:space="preserve">Планка торцевая фальц 60х97 </t>
  </si>
  <si>
    <t>Кляммер для фальцевой кровли</t>
  </si>
  <si>
    <t>Нестандартные доборные элементы, Цена, руб./п.м.</t>
  </si>
  <si>
    <t>0,5 мм</t>
  </si>
  <si>
    <t>0,55 мм</t>
  </si>
  <si>
    <t>0,7 мм</t>
  </si>
  <si>
    <t>Для расчета стоимости п.м. нестанд. доборн. элемента в зеленом поле укажите ширину развертки элемента в мм.</t>
  </si>
  <si>
    <t>Максимальная длина отмотки в Цинке - 400 м</t>
  </si>
  <si>
    <t>* - Стоимость двойного стоячего фальца рассчитывается исходя из ширины 625 мм (ширины заготовки). Полная ширина готового изделия 563 мм. Gofr/Profi - дополнительные ребра жесткости</t>
  </si>
  <si>
    <t>Наценка при заказе профнастила 
(+штрипсы, отмотки и плоского листа пр-ва Обн.,Врн., СПБ):</t>
  </si>
  <si>
    <t>** - штрипс длиной менее 4,0 м изготавливается только в пленке.</t>
  </si>
  <si>
    <t>Монтажные ленты</t>
  </si>
  <si>
    <t>Цена, руб/рулон</t>
  </si>
  <si>
    <t>NICOBAND самоклеящаяся герметизирующая лента (10смх10м)</t>
  </si>
  <si>
    <t>100х10000</t>
  </si>
  <si>
    <t>** - Cтоимость доставки отмотки/штрипса из Обнинска в НН на поддоне Р 1300 руб/шт</t>
  </si>
  <si>
    <t>Лента для примыкания Grand Line гофр. алюм. (0,3x5 м) (кирпичн., кор., черн., темнокрасн.)</t>
  </si>
  <si>
    <t>300 х 5000</t>
  </si>
  <si>
    <t>Аэроэлемент конька Grand Line (5м) (черный, коричневый)</t>
  </si>
  <si>
    <t>240 х 5000, 
3100 х 5000</t>
  </si>
  <si>
    <t>Лента вентиляционная Grand Line для карниза (коричн./черн./беж.) 100х5000</t>
  </si>
  <si>
    <t>100 х 5000</t>
  </si>
  <si>
    <t>ZN 0,35</t>
  </si>
  <si>
    <t>ZN 0,4</t>
  </si>
  <si>
    <t>ZN 0,45</t>
  </si>
  <si>
    <t>ZN 0,5</t>
  </si>
  <si>
    <t>ZN 0,55</t>
  </si>
  <si>
    <t>ZN 0,7</t>
  </si>
  <si>
    <t>ZN 0,8</t>
  </si>
  <si>
    <t>ZN 0,9</t>
  </si>
  <si>
    <t>Кляммеры</t>
  </si>
  <si>
    <t>Аэроэлемент / Лента вентиляционная</t>
  </si>
  <si>
    <t>Лента NICOBAND</t>
  </si>
  <si>
    <t xml:space="preserve">Лента для примыкания гофр. алюм. </t>
  </si>
  <si>
    <t xml:space="preserve">3.1. Профнастил и металлический сайдинг Grand Line </t>
  </si>
  <si>
    <t>Сайдинг Корабельная Доска</t>
  </si>
  <si>
    <t>Сайдинг Вертикаль GL</t>
  </si>
  <si>
    <t>200/176</t>
  </si>
  <si>
    <t>Сайдинг ЭкоБрус GL/Gofr</t>
  </si>
  <si>
    <t>345/320</t>
  </si>
  <si>
    <t>Обн: 361/334</t>
  </si>
  <si>
    <t>Фасадные фальцевые картины GL</t>
  </si>
  <si>
    <t>1200/1160</t>
  </si>
  <si>
    <t>Для расчета цены п.м. нестандарт.доборного эл-та укажите ширину развертки в мм в зеленом поле</t>
  </si>
  <si>
    <t xml:space="preserve">Print желтое дерево </t>
  </si>
  <si>
    <r>
      <rPr>
        <b/>
        <sz val="10"/>
        <rFont val="Arial Cyr"/>
        <charset val="204"/>
      </rPr>
      <t xml:space="preserve">Нестандартный доборный элемент </t>
    </r>
    <r>
      <rPr>
        <sz val="10"/>
        <rFont val="Arial Cyr"/>
        <charset val="204"/>
      </rPr>
      <t>(укажите ширину развертки в мм в зеленом поле)</t>
    </r>
  </si>
  <si>
    <t>Навесная фасадная система  Grand Line для ИЖС</t>
  </si>
  <si>
    <t>Наименование (оцинкованная сталь)</t>
  </si>
  <si>
    <t>Применение</t>
  </si>
  <si>
    <t>Базовая ед. измерения</t>
  </si>
  <si>
    <t>Цена, руб./ед.изм.</t>
  </si>
  <si>
    <t>Просекатель овальных отверстий 3,5х15 мм</t>
  </si>
  <si>
    <t>Крепление стеновое</t>
  </si>
  <si>
    <t>Крепление стеновое AR УК50х50х50 цинк (1,2 мм)</t>
  </si>
  <si>
    <t>Для крепления к стене в горизонтальной и вертикальной системах Эконом</t>
  </si>
  <si>
    <t>Саморез 4,8*29 (250 шт/уп) (металл-дерево) Zn, Ral</t>
  </si>
  <si>
    <t>Крепление стеновое AR УК90х50х50 цинк (1,2 мм)</t>
  </si>
  <si>
    <t>Саморез 5,5*19 (250 шт/уп) (металл-металл) Zn, Ral</t>
  </si>
  <si>
    <t>Крепление стеновое AR УК100х50х50 цинк (1,2 мм)</t>
  </si>
  <si>
    <t>Крепление стеновое AR УК120х50х50 цинк (1,2 мм)</t>
  </si>
  <si>
    <t>Уплотнитель универсальный с клеевым слоем 30х40 (2м)</t>
  </si>
  <si>
    <t>Крепление стеновое AR УК150х50х50 цинк (1,2 мм)</t>
  </si>
  <si>
    <t>DRIPSTOP антиконденсатное покр-е (пн, пл) (на заказы менее 50 кв.м. DRIPSTOP не наносится!)
Коэфф. расчета Dripsrop на кв.м. С20 - 1,043 НС35 - 1,132</t>
  </si>
  <si>
    <t>Крепление стеновое AR УК180х50х50 цинк (1,2 мм)</t>
  </si>
  <si>
    <t>Крепление стеновое AR УК200х50х50 цинк (1,2 мм)</t>
  </si>
  <si>
    <t>Крепление стеновое усиленное</t>
  </si>
  <si>
    <t>Кронштейн крепежный усиленный ККУ 90 (1,2 мм)</t>
  </si>
  <si>
    <t>Для надежного крепления к стене в перекрестной и вертикальной системах</t>
  </si>
  <si>
    <t>Кронштейн крепежный усиленный ККУ 120 (1,2 мм)</t>
  </si>
  <si>
    <t>Кронштейн крепежный усиленный ККУ 150 (1,2 мм)</t>
  </si>
  <si>
    <t>Кронштейн крепежный усиленный ККУ 180 (1,2 мм)</t>
  </si>
  <si>
    <t>Профиль горизонтальный основной</t>
  </si>
  <si>
    <t>Профиль горизонтальный основной AR ГО40х40 цинк (0,9мм)</t>
  </si>
  <si>
    <t>Для создания несущего каркаса в горизонтальной, вертикальной и перекрестной системах</t>
  </si>
  <si>
    <t>Саморез  ПШС (Общая толщина просверливаемого металла - 2 мм)</t>
  </si>
  <si>
    <t>Профиль горизонтальный основной AR ГО40х60 цинк (0,9мм)</t>
  </si>
  <si>
    <t>Саморезы с прессшайбой сверло 4,2х16 Ral (1000 шт.)</t>
  </si>
  <si>
    <t>Прокладки</t>
  </si>
  <si>
    <t>Саморезы с прессшайбой сверло 4,2х19 Ral (1000 шт.)</t>
  </si>
  <si>
    <t>Уплотнитель изолоновый 90х80 (2 мм)</t>
  </si>
  <si>
    <t>Применяется для устранения мостиков холода между стеной и кронштейном</t>
  </si>
  <si>
    <t>Саморезы с прессшайбой сверло 4,2х25 Ral (500 шт.)</t>
  </si>
  <si>
    <t>Прокладка паронитовая 50х50 (2 мм)</t>
  </si>
  <si>
    <t>Саморезы с прессшайбой сверло 4,2х16 Цинк (1000 шт.)</t>
  </si>
  <si>
    <t>Прокладка паронитовая 80х80 (2 мм)</t>
  </si>
  <si>
    <t>Дюбели</t>
  </si>
  <si>
    <t>Саморезы с прессшайбой сверло 4,2х25 Цинк (800 шт.)</t>
  </si>
  <si>
    <t>Дюбель фасадный 10х100</t>
  </si>
  <si>
    <t>Для крепления кронштейнов к стене</t>
  </si>
  <si>
    <t>шт (50 шт/упак)</t>
  </si>
  <si>
    <t>Защитные козырьки Krovent</t>
  </si>
  <si>
    <t>Пленки</t>
  </si>
  <si>
    <t>Защитный козырек Krovent 1200х930х280 мм</t>
  </si>
  <si>
    <t>Размер упаковки - 1160*970*65</t>
  </si>
  <si>
    <t>Пленка Optima A (паропроницаемая ветро-влагозащита) (35 м²/ 70 м², плотность 100 г/м² )</t>
  </si>
  <si>
    <t>Гидроизоляционная мембрана Изоспан-АМ (70 м², плотность 90 г/м²)</t>
  </si>
  <si>
    <t>Защитный козырек Krovent 1500х930х280 мм</t>
  </si>
  <si>
    <t>Размер упаковки - 1500*970*65</t>
  </si>
  <si>
    <t>Декоративные вентиляционные элементы</t>
  </si>
  <si>
    <t>Назначение</t>
  </si>
  <si>
    <t>Вентиляционная решетка восьмиугольная 
550мм Техоснастка</t>
  </si>
  <si>
    <t>Фронтонная решётка для вентиляции чердачных помещений</t>
  </si>
  <si>
    <t>белый, коричневый</t>
  </si>
  <si>
    <t>Примечания:</t>
  </si>
  <si>
    <t>Отдушина вентиляционная с фиксированными 
жалюзи Mid-America</t>
  </si>
  <si>
    <t>Обрамляют выходы устройств вентиляции помещений на фасадах</t>
  </si>
  <si>
    <t>белый, коричневый, под покраску</t>
  </si>
  <si>
    <t>Наценки на металлический сайдинг:</t>
  </si>
  <si>
    <t>Наценка при заказе профнастила:</t>
  </si>
  <si>
    <t>Фасадные фальцевые картины</t>
  </si>
  <si>
    <t>Навесния фасадная система</t>
  </si>
  <si>
    <t>3.2. Доборные элементы для фасадных систем</t>
  </si>
  <si>
    <t>Цена руб./п.м., стандартная длина 2м и 3м</t>
  </si>
  <si>
    <t>Print Желтое дерево_НН</t>
  </si>
  <si>
    <t>Satin / PE 0,45</t>
  </si>
  <si>
    <t>PE 0,65-0,7</t>
  </si>
  <si>
    <t xml:space="preserve">Планка стыковочная составная верхняя </t>
  </si>
  <si>
    <t xml:space="preserve">Планка стыковочная составная нижняя </t>
  </si>
  <si>
    <t xml:space="preserve">Планка угла внешнего составная верхняя </t>
  </si>
  <si>
    <t xml:space="preserve">Планка угла внешнего составная нижняя </t>
  </si>
  <si>
    <t xml:space="preserve">Планка угла внутреннего составная верхняя </t>
  </si>
  <si>
    <t>Планка угла внутреннего составная нижняя</t>
  </si>
  <si>
    <t>Околооконная планка простая 200х50 мм</t>
  </si>
  <si>
    <t>J-профиль 12 мм</t>
  </si>
  <si>
    <t>Околооконная планка сложная 200х75 (БХ/ЭкоБрус)</t>
  </si>
  <si>
    <t>Околооконная планка сложная 250х75 (БХ/ЭкоБрус)</t>
  </si>
  <si>
    <t>Вентилируемая обрешетка, стандартная длина 3м и 4м</t>
  </si>
  <si>
    <t>Металлическая вентилируемая обрешетка  0,6/0,7 мм</t>
  </si>
  <si>
    <t>Доборные элементы в покрытии PE по цене равны доборным элементам в покрытии Satin.</t>
  </si>
  <si>
    <t>Прозрачный, Серебристый, Бронзовый, Молочный, Красный, Зеленый</t>
  </si>
  <si>
    <t>Доборные элементы для фасада</t>
  </si>
  <si>
    <t>КОЛЛЕКЦИИ</t>
  </si>
  <si>
    <t>КЛАССИКА</t>
  </si>
  <si>
    <t>АКРИЛ</t>
  </si>
  <si>
    <t>TUNDRA</t>
  </si>
  <si>
    <t>ЛАЙТ</t>
  </si>
  <si>
    <t>Стандартные цвета</t>
  </si>
  <si>
    <t>Премиум цвета</t>
  </si>
  <si>
    <t>Полезная ширина, м</t>
  </si>
  <si>
    <t>Полезная площадь, кв.м</t>
  </si>
  <si>
    <t>Кол-во шт. в упаковке</t>
  </si>
  <si>
    <t>бежевый</t>
  </si>
  <si>
    <t>ванильный</t>
  </si>
  <si>
    <t>салатовый</t>
  </si>
  <si>
    <t>голубой</t>
  </si>
  <si>
    <t>кремовый</t>
  </si>
  <si>
    <t>персиковый</t>
  </si>
  <si>
    <r>
      <t xml:space="preserve">слоновая кость </t>
    </r>
    <r>
      <rPr>
        <b/>
        <sz val="10"/>
        <color indexed="10"/>
        <rFont val="Arial Cyr"/>
        <charset val="204"/>
      </rPr>
      <t>NEW</t>
    </r>
  </si>
  <si>
    <t>карамельный</t>
  </si>
  <si>
    <t>темно-бежевый</t>
  </si>
  <si>
    <r>
      <t xml:space="preserve">золотой песок
</t>
    </r>
    <r>
      <rPr>
        <b/>
        <sz val="10"/>
        <color indexed="10"/>
        <rFont val="Arial Cyr"/>
        <charset val="204"/>
      </rPr>
      <t>АКЦИЯ</t>
    </r>
  </si>
  <si>
    <t>темный дуб</t>
  </si>
  <si>
    <t xml:space="preserve">светлый дуб </t>
  </si>
  <si>
    <t>клен</t>
  </si>
  <si>
    <t>граб</t>
  </si>
  <si>
    <t>ясень</t>
  </si>
  <si>
    <r>
      <t xml:space="preserve">канадский дуб </t>
    </r>
    <r>
      <rPr>
        <b/>
        <sz val="10"/>
        <color indexed="10"/>
        <rFont val="Arial Cyr"/>
        <charset val="204"/>
      </rPr>
      <t>Распродажа</t>
    </r>
  </si>
  <si>
    <t>Сайдинг-панели</t>
  </si>
  <si>
    <t>Корабельный брус D4,4 GL</t>
  </si>
  <si>
    <t>кв.м.</t>
  </si>
  <si>
    <t>Корабельный брус D4 GL Slim</t>
  </si>
  <si>
    <t>Корабельный брус D4 GL Удачный</t>
  </si>
  <si>
    <t xml:space="preserve">Корабельный брус D3,7 </t>
  </si>
  <si>
    <t xml:space="preserve">Блок-хаус D4,8 </t>
  </si>
  <si>
    <t>Вертикальный S6,3 GL</t>
  </si>
  <si>
    <t>Natural-Брус S7 GL</t>
  </si>
  <si>
    <t>3.3. Доборные элементы GL, декоративная система GL Я-фасад</t>
  </si>
  <si>
    <t>слоновая кость</t>
  </si>
  <si>
    <t>Доборные элементы GL</t>
  </si>
  <si>
    <r>
      <t xml:space="preserve">Н-профиль соединительный </t>
    </r>
    <r>
      <rPr>
        <sz val="10"/>
        <color indexed="10"/>
        <rFont val="Arial Cyr"/>
        <charset val="204"/>
      </rPr>
      <t>*</t>
    </r>
  </si>
  <si>
    <r>
      <t xml:space="preserve">J-профиль </t>
    </r>
    <r>
      <rPr>
        <sz val="10"/>
        <color indexed="10"/>
        <rFont val="Arial Cyr"/>
        <charset val="204"/>
      </rPr>
      <t>*</t>
    </r>
  </si>
  <si>
    <r>
      <t>Финишная планка</t>
    </r>
    <r>
      <rPr>
        <sz val="10"/>
        <color indexed="10"/>
        <rFont val="Arial Cyr"/>
        <charset val="204"/>
      </rPr>
      <t xml:space="preserve"> *</t>
    </r>
  </si>
  <si>
    <t>Стартовая планка</t>
  </si>
  <si>
    <r>
      <t xml:space="preserve">Угол внутренний </t>
    </r>
    <r>
      <rPr>
        <sz val="10"/>
        <color indexed="10"/>
        <rFont val="Arial Cyr"/>
        <charset val="204"/>
      </rPr>
      <t>*</t>
    </r>
  </si>
  <si>
    <r>
      <t xml:space="preserve">Переходник вертикального сайдинга </t>
    </r>
    <r>
      <rPr>
        <sz val="10"/>
        <color indexed="10"/>
        <rFont val="Arial Cyr"/>
        <charset val="204"/>
      </rPr>
      <t>АКЦИЯ</t>
    </r>
  </si>
  <si>
    <t>J-фаска (ветровая доска)</t>
  </si>
  <si>
    <t>J-профиль широкий (наличник)</t>
  </si>
  <si>
    <t>Околооконная планка</t>
  </si>
  <si>
    <t>Молдинг</t>
  </si>
  <si>
    <t>Сливная планка</t>
  </si>
  <si>
    <t>Планка (наличник) наборная для составного угла 3,0</t>
  </si>
  <si>
    <t>Планка приоконная широкая 7/8'' 3,0</t>
  </si>
  <si>
    <t>Планка радиусная для составного угла 3,0</t>
  </si>
  <si>
    <t>Профиль универсальный J 7/8'' 3,00</t>
  </si>
  <si>
    <t>Описание</t>
  </si>
  <si>
    <t>Пробойник насечек SL5</t>
  </si>
  <si>
    <t xml:space="preserve">Просекатель отверстий NHP1R </t>
  </si>
  <si>
    <t>Инструмент для демонтажа сайдинга SRT2</t>
  </si>
  <si>
    <t>Скобы для степлера 10х0,7мм, 12х0,7мм, 14х0,7мм (53 Тип) </t>
  </si>
  <si>
    <t>Optima A (пленка паропроницаемая ветро-влагозащита)</t>
  </si>
  <si>
    <t>Вентиляционная решетка восьмиугольная 550мм Техоснастка</t>
  </si>
  <si>
    <t>Отдушина вентиляционная с фиксированными жалюзи Mid-America</t>
  </si>
  <si>
    <t>* - скидка 10% от розничной цены на желтый цвет</t>
  </si>
  <si>
    <t>Сайдинг Тундра комплектуется акриловыми аксессуарами темный дуб</t>
  </si>
  <si>
    <t>S, D и T - это количество переломов (Single, Double,Triple), цифры - ширина одного перелома в дюймах</t>
  </si>
  <si>
    <t>Предупреждаем Вас, что не допускается продажа на объект в одном заказе улучшенного сайдинга Grand Line и сайдинга предыдущей серии из-за разной степени сопротивления УФ-излучению.</t>
  </si>
  <si>
    <t xml:space="preserve">ВНИМАНИЕ! В случае, если доля доборных элементов в заказе составляет менее 40%,  цена панели сайдинга может быть увеличена до 40%. Если в заказе присутствует только сайдинг без каких либо доборных элементов, поставщик оставляет за собой право отказать в отгрузке заказа. </t>
  </si>
  <si>
    <t>Классика</t>
  </si>
  <si>
    <t>Акрил</t>
  </si>
  <si>
    <t>Tundra</t>
  </si>
  <si>
    <t>Лайт</t>
  </si>
  <si>
    <t>Сайдинг-панель D4,4 GL</t>
  </si>
  <si>
    <t>Сайдинг-панель D4 GL</t>
  </si>
  <si>
    <t>Сайдинг-панель D3,7 Лайт</t>
  </si>
  <si>
    <t>Сайдинг-панель Блок-хаус D4,8 GL</t>
  </si>
  <si>
    <t>Сайдинг-панель "Вертикальный" S6,3 GL</t>
  </si>
  <si>
    <t>Сайдинг-панель Natural-Брус S7 GL</t>
  </si>
  <si>
    <t>Софиты Estetic GL</t>
  </si>
  <si>
    <t>Софиты T4 GL</t>
  </si>
  <si>
    <t>Софиты T3 GL</t>
  </si>
  <si>
    <t>Декоративная фасадная система</t>
  </si>
  <si>
    <t>Цена, руб./ед.</t>
  </si>
  <si>
    <t>Вентиляционные элементы</t>
  </si>
  <si>
    <t>Ставни, пилястры и наличники</t>
  </si>
  <si>
    <t xml:space="preserve">Окно вентиляционное восьмиугольное 457 мм </t>
  </si>
  <si>
    <t>Фронтонные решётки для вентиляции чердачных помещений.</t>
  </si>
  <si>
    <t>Ставни жалюзные 305х1219 мм</t>
  </si>
  <si>
    <t>Делают фасад дома более выразительным и придают ему особый колорит.</t>
  </si>
  <si>
    <t>комплект</t>
  </si>
  <si>
    <t>под покраску</t>
  </si>
  <si>
    <t>Окно вентиляционное восьмиугольное 559 мм</t>
  </si>
  <si>
    <t>Ставни жалюзные 305х1397 мм</t>
  </si>
  <si>
    <t>Окно вентиляционное круглое 457 мм</t>
  </si>
  <si>
    <t>Ставни жалюзные 305х1524 мм</t>
  </si>
  <si>
    <t>Окно вентиляционное круглое 559 мм</t>
  </si>
  <si>
    <t>Ставни жалюзные 368х1321 мм</t>
  </si>
  <si>
    <t>Отдушина вентиляционная с фиксированными жалюзи</t>
  </si>
  <si>
    <t xml:space="preserve">Обрамляют выходы устройств вентиляции помещений на фасадах, отделанных сайдингом. Препятствуют проникновению и удержанию влаги внутри фасада. </t>
  </si>
  <si>
    <t>Ставни жалюзные 368х1524 мм</t>
  </si>
  <si>
    <t xml:space="preserve">Отдушина вентиляционная с алюминиевой трубой 152 мм </t>
  </si>
  <si>
    <t>Ставни филенчатые 305х1397 мм</t>
  </si>
  <si>
    <t>Отдушина вентиляционная с обратным клапаном 102 мм</t>
  </si>
  <si>
    <t>Ставни филенчатые 305х1499 мм</t>
  </si>
  <si>
    <t>Монтажные блоки</t>
  </si>
  <si>
    <t>Наличник гладкий высота 152х1667мм</t>
  </si>
  <si>
    <t>Монтируются по верхнему краю оконных и дверных проемов.</t>
  </si>
  <si>
    <t>Блок мини монтажный 114х160 мм</t>
  </si>
  <si>
    <t>Позволяют аккуратно и эстетично обрамить выходы для электроприборов, инженерных сетей.</t>
  </si>
  <si>
    <t>Наличник гладкий высота 152х1108 мм</t>
  </si>
  <si>
    <t>Перегородка задняя с J-пазом для наличника 152х1108 мм</t>
  </si>
  <si>
    <t>Блок мини монтажный раздельный127х172 мм</t>
  </si>
  <si>
    <t>Перегородка задняя с J-пазом для наличника 152х1667 мм</t>
  </si>
  <si>
    <t>Блок оригинальный монтажный 178х203 мм</t>
  </si>
  <si>
    <t>Пилястры дверные</t>
  </si>
  <si>
    <t>Для обрамления дверей или гаражных ворот. Защищают от повреждения периметр входного проема (от сколов на кирпиче и камне, вмятин на сайдинге и т. д.).</t>
  </si>
  <si>
    <t>Блок монтажный раздельный 137х152 мм</t>
  </si>
  <si>
    <t>Блок монтажный суперкрупный 203х305 мм</t>
  </si>
  <si>
    <t>Панель задняя с J-пазом для пилястр</t>
  </si>
  <si>
    <t>Декоративные вентиляционные элементы Техоснастка</t>
  </si>
  <si>
    <t>Декоративные элементы Mid-America</t>
  </si>
  <si>
    <t>Декоративные элементы Техоснастка</t>
  </si>
  <si>
    <t>3.5. Фасадные панели Grand Line</t>
  </si>
  <si>
    <t>Кол-во шт./упак.</t>
  </si>
  <si>
    <t>Стартовый элемент для фасадной панели GL</t>
  </si>
  <si>
    <t>Расход 4 шт на 1,5 п.м. периметра дома</t>
  </si>
  <si>
    <t>Наименование/рисунок</t>
  </si>
  <si>
    <t>Кол-во
шт./уп.</t>
  </si>
  <si>
    <t>Цена руб/шт</t>
  </si>
  <si>
    <t>Панель фасадная</t>
  </si>
  <si>
    <t>Панель отделочная 
VOX Solid Brick</t>
  </si>
  <si>
    <t>1000 мм х 420 мм, S=0,42м²</t>
  </si>
  <si>
    <t>Планка универсальная 
VOX Solid Brick</t>
  </si>
  <si>
    <t>Bristol красный, Dorset терракотовый, Exeter песочный, York коричневый, Coventry белый</t>
  </si>
  <si>
    <t>420 мм х 121 мм</t>
  </si>
  <si>
    <t>Панель отделочная 
VOX Solid Stone</t>
  </si>
  <si>
    <t>Планка универсальная 
VOX Solid Stone</t>
  </si>
  <si>
    <t xml:space="preserve">Calabria глиняный, Lazio светлая глина, Liguria ванильный, Toscana серый, Umbria коричневый, Sicily темно-коричневый </t>
  </si>
  <si>
    <t>Угол наружный VOX 
Solid Brick</t>
  </si>
  <si>
    <t>Стартовая планка для отделочных панелей Vox</t>
  </si>
  <si>
    <t>3000 мм</t>
  </si>
  <si>
    <t>Планка финишная</t>
  </si>
  <si>
    <t>белая, светлая, темная</t>
  </si>
  <si>
    <t>Угол наружный VOX 
Solid Stone</t>
  </si>
  <si>
    <t>Планка финишная светлого цвета - Bristol, York; темного цвета - Exeter; белого цвета - Dorset, Coventry.</t>
  </si>
  <si>
    <t>Цвета коллекции Solid Stone (камень)</t>
  </si>
  <si>
    <t>Цвета коллекции Solid Brick (кирпич)</t>
  </si>
  <si>
    <t>Ед. изм</t>
  </si>
  <si>
    <t>HAUBERK фасадная плитка</t>
  </si>
  <si>
    <t>HAUBERK уголок металлический внешний</t>
  </si>
  <si>
    <t>50х50х1250 мм</t>
  </si>
  <si>
    <t>HAUBERK уголок металлический внутренний</t>
  </si>
  <si>
    <t xml:space="preserve">HAUBERK наличник оконный металлический </t>
  </si>
  <si>
    <t>50х100х1250 мм</t>
  </si>
  <si>
    <t>Панели и аксесссуары VOX</t>
  </si>
  <si>
    <t>Фасадная плитка Hauberk</t>
  </si>
  <si>
    <t>Уголки и наличник Hauberk</t>
  </si>
  <si>
    <t>Клей Hauberk</t>
  </si>
  <si>
    <t>руб/м.кв</t>
  </si>
  <si>
    <t>руб/шт</t>
  </si>
  <si>
    <r>
      <t xml:space="preserve">АКСЕССУАРЫ и ДОБОРНЫЕ ЭЛЕМЕНТЫ (алюминиевые) </t>
    </r>
    <r>
      <rPr>
        <sz val="10"/>
        <color indexed="8"/>
        <rFont val="Arial Cyr"/>
        <charset val="204"/>
      </rPr>
      <t>На все цвета - одна цена!</t>
    </r>
  </si>
  <si>
    <t>Для сайдинга</t>
  </si>
  <si>
    <t>Срок поставки</t>
  </si>
  <si>
    <t>Комментарий</t>
  </si>
  <si>
    <t>Профиль перфорированный вент. алюм. 100/30х2,5 CEDRAL</t>
  </si>
  <si>
    <t>CEDRAL, CEDRAL click</t>
  </si>
  <si>
    <t>на складе в России</t>
  </si>
  <si>
    <t>100х30мм, L=2,5м</t>
  </si>
  <si>
    <t>Профиль перфорированный вент. алюм. 50/30х2,5 CEDRAL</t>
  </si>
  <si>
    <t>50х30мм, L=2,5м</t>
  </si>
  <si>
    <t>Профиль стартовый (цвет базовый - С02) для CEDRAL</t>
  </si>
  <si>
    <t>CEDRAL</t>
  </si>
  <si>
    <t>L=3,0м, представлен в одном базовом цвете С02</t>
  </si>
  <si>
    <t xml:space="preserve">Профиль стартовый для CEDRAL click </t>
  </si>
  <si>
    <t>CEDRAL click</t>
  </si>
  <si>
    <t>L=3,05м, неокрашенный</t>
  </si>
  <si>
    <t>Профиль стартовый для вертикального монтажа CEDRAL click</t>
  </si>
  <si>
    <t>Профиль внутреннего угла для CEDRAL</t>
  </si>
  <si>
    <t>L=3м</t>
  </si>
  <si>
    <t>Внутренний угловой профиль CEDRAL click</t>
  </si>
  <si>
    <t>Внешний симметричный угловой профиль для CEDRAL</t>
  </si>
  <si>
    <t>Внешний ассимметричный угловой профиль для CEDRAL</t>
  </si>
  <si>
    <t>Внешний угловой профиль для CEDRAL click</t>
  </si>
  <si>
    <t>Конечный профиль CEDRAL</t>
  </si>
  <si>
    <t>Профиль соединительный CEDRAL</t>
  </si>
  <si>
    <t>L=3м, один вариант рамера 45/12/8</t>
  </si>
  <si>
    <t>Профиль для обрамления проемов для CEDRAL click</t>
  </si>
  <si>
    <t>Саморезы по дереву пр-во "Граббер" 4,2x38мм (200шт) CEDRAL</t>
  </si>
  <si>
    <t>углеродистая сталь с антикорозийным покрытием, упак.200 шт.</t>
  </si>
  <si>
    <t>Саморезы по дереву TORX+WING 4,8X38мм (100 шт) CEDRAL</t>
  </si>
  <si>
    <t>грибовидная шляпка для видимого крепления, цвета С01, С04, С30, упак.100 шт.</t>
  </si>
  <si>
    <t>Винт д/метал. подсистем оригинал 4,2х30мм (200 шт) CEDRAL</t>
  </si>
  <si>
    <t>гальванизированный, самонарезающий, упак.200 шт.</t>
  </si>
  <si>
    <t>Саморезы по металлу пр-во "Граббер" 4,2x32мм (200шт) CEDRAL</t>
  </si>
  <si>
    <t>Комплект "Кляммер+Заклепка" по металлу (250шт) CEDRAL click</t>
  </si>
  <si>
    <t>нерж.сталь, упак. 250 шт.</t>
  </si>
  <si>
    <t>Комплект "Кляммер+Винт" по дереву (250шт) CEDRAL click</t>
  </si>
  <si>
    <t>Краска для ретуши CEDRAL</t>
  </si>
  <si>
    <t>1 банка - 0,5 л.</t>
  </si>
  <si>
    <t>Лента EPDM 60х1мм, 30 м.п. CEDRAL</t>
  </si>
  <si>
    <t>1 упаковка - 30 пог.м.</t>
  </si>
  <si>
    <t>Комплект монтажных зажимов (2шт) CEDRAL</t>
  </si>
  <si>
    <t>в комплекте 2 шт.</t>
  </si>
  <si>
    <t>Полотно для дисковых пил Leitz 4 Teeth D160/20 CEDRAL</t>
  </si>
  <si>
    <t>диаметр посадочного отверстия 20мм</t>
  </si>
  <si>
    <t>* - указан ориентировочный срок поставки на склад производителя в России (Калужская область). Срок поставки указан в рабочих днях.</t>
  </si>
  <si>
    <t>Срок поставки зависит от профиля, цвета и количества требуемых материалов. Точный срок узнавайте у менеджера по продажам.</t>
  </si>
  <si>
    <t>Эскиз изделия</t>
  </si>
  <si>
    <t>Фиброцементный сайдинг Cedral</t>
  </si>
  <si>
    <t>Цена, руб/п.м.</t>
  </si>
  <si>
    <t>Кол-во в упаковке, шт.</t>
  </si>
  <si>
    <t>ГК-профиль</t>
  </si>
  <si>
    <t>Изображение/Область применения подсистемы</t>
  </si>
  <si>
    <t>керамогранит, металлокассеты, фиброцементные и асбестоцементные плиты, натуральный камень</t>
  </si>
  <si>
    <t>Для создания несущего каркаса в перекрестной системе</t>
  </si>
  <si>
    <t>металлокассеты, керамогранит, фиброцементные и асбестоцементные плиты</t>
  </si>
  <si>
    <t>Удлинитель крепления стенового</t>
  </si>
  <si>
    <t>металлический сайдинг Вертикаль, профнастил</t>
  </si>
  <si>
    <t xml:space="preserve">Удлинитель крепления стенового AR УКС 150 </t>
  </si>
  <si>
    <t>Профиль вертикальный промежуточный Z-обр. (4)</t>
  </si>
  <si>
    <t>Пластина внешнего угла AR</t>
  </si>
  <si>
    <t>Пластина кляммерная</t>
  </si>
  <si>
    <t xml:space="preserve">Пластина кляммерная AR П70х10х1,2(р) </t>
  </si>
  <si>
    <t xml:space="preserve">Пластина кляммерная вертикальная AR П38х10х1,2 </t>
  </si>
  <si>
    <t xml:space="preserve">Пластина кляммерная стартовая AR П39х10х1,2М </t>
  </si>
  <si>
    <t>металлический сайдинг Корабельная доска, ЭкоБрус, Блок-хаус, профнастил, виниловый сайдинг, фасадные панели "Я-фасад"</t>
  </si>
  <si>
    <t>Универсальные комплектующие для навесных фасадных систем</t>
  </si>
  <si>
    <t>Паронитовая прокладка (Терморазрыв)</t>
  </si>
  <si>
    <t>Крепеж</t>
  </si>
  <si>
    <t xml:space="preserve">Дюбель фасадный 10х100 (50 шт): рекомендован для использования в бетоне и полнотелом кирпиче </t>
  </si>
  <si>
    <t>Саморез ПШ сверло 4,2х16, цинк</t>
  </si>
  <si>
    <t>Саморез ПШ сверло  4,2х19, цинк</t>
  </si>
  <si>
    <t xml:space="preserve">* - покраска профилей рекуператом (порошковая окраска). Кляммеры - окраска в цвета по каталогу RAL. </t>
  </si>
  <si>
    <t>Возможно изготовление элементов подсистемы для вентилируемых фасадов с облицовкой фасадными кассетами, декоративных профилей,профилей для крепления системы в межэтажные перекрытия. Подробности уточняйте у менеджера.</t>
  </si>
  <si>
    <t>Заклепки, саморезы</t>
  </si>
  <si>
    <t>Дюбели для утеплителя</t>
  </si>
  <si>
    <t xml:space="preserve">4.1. Профнастил для ограждений и перекрытий, металлический штакетник Grand Line </t>
  </si>
  <si>
    <t xml:space="preserve">PE производство </t>
  </si>
  <si>
    <t>1,5-3</t>
  </si>
  <si>
    <t>902/845</t>
  </si>
  <si>
    <t>800/750</t>
  </si>
  <si>
    <t>Штакетник П/М-образный</t>
  </si>
  <si>
    <t>100/-</t>
  </si>
  <si>
    <t>Штакетник П/М-образный Фигурный</t>
  </si>
  <si>
    <t>Штакетник Круглый</t>
  </si>
  <si>
    <t>128 / -</t>
  </si>
  <si>
    <t>Штакетник Прямоугольный</t>
  </si>
  <si>
    <t>118 / -</t>
  </si>
  <si>
    <t>Штакетник Круглый Фигурный</t>
  </si>
  <si>
    <t>Штакетник Прямоугольный Фигурный</t>
  </si>
  <si>
    <t>Доборные элементы для ограждений, стандартная длина 2м и 3м</t>
  </si>
  <si>
    <t>Print желтое дерево_НН</t>
  </si>
  <si>
    <t>Satin /    PE 0,45</t>
  </si>
  <si>
    <t>PE 
0,65-0,7</t>
  </si>
  <si>
    <t>PE 
0,4</t>
  </si>
  <si>
    <r>
      <t xml:space="preserve">Планка П-образная заборная 17 </t>
    </r>
    <r>
      <rPr>
        <sz val="10"/>
        <rFont val="Arial Cyr"/>
        <charset val="204"/>
      </rPr>
      <t>- используется для профнастилов С8 и С10.</t>
    </r>
    <r>
      <rPr>
        <b/>
        <sz val="10"/>
        <rFont val="Arial Cyr"/>
        <charset val="204"/>
      </rPr>
      <t xml:space="preserve">
Планка П-образная заборная 20</t>
    </r>
    <r>
      <rPr>
        <sz val="10"/>
        <rFont val="Arial Cyr"/>
        <charset val="204"/>
      </rPr>
      <t xml:space="preserve"> - используется для профнастила С20 и для штакетников П- и М-образного.</t>
    </r>
  </si>
  <si>
    <t>Планка П-образная заборная 20 2м/3м</t>
  </si>
  <si>
    <t>Планка П-образная заборная 17 2м/3м</t>
  </si>
  <si>
    <t>Цинк 0,5</t>
  </si>
  <si>
    <t>Цинк 0,55</t>
  </si>
  <si>
    <t>Цинк 0,7</t>
  </si>
  <si>
    <r>
      <rPr>
        <b/>
        <sz val="10"/>
        <rFont val="Arial Cyr"/>
        <charset val="204"/>
      </rPr>
      <t xml:space="preserve">Нестандартный доборный элемент </t>
    </r>
    <r>
      <rPr>
        <sz val="10"/>
        <rFont val="Arial Cyr"/>
        <charset val="204"/>
      </rPr>
      <t>(укажите ширину развертки в зеленом поле)</t>
    </r>
  </si>
  <si>
    <t>Колпаки на столб под размер на заказ</t>
  </si>
  <si>
    <t>Колпак на столб под заказ</t>
  </si>
  <si>
    <t>Колпак на столб под фонарь</t>
  </si>
  <si>
    <t>Колпак на столб двойной</t>
  </si>
  <si>
    <t>Для расчета стоимости колпака укажите размеры трубы в мм кратно 5 мм (0,5 см). Значения размеров указывать в ячейках, закрашенных зеленым цветом. Возможность изготовления издений свыше 2,5х1,5м уточняйте у менеджера.</t>
  </si>
  <si>
    <t>Возможно изготовление колпаков по чертежам заказчика. Срок изготовления и стоимость изделий уточняйте у менеджера. При указании размеров колпака на столб просьба учитывать: неровности кладки, ассиметрию трубы или столба. Для предотвращения сложностей установки колпака производитель может незначительно увеличить заявленные размеры периметра изделия. Колпаки с размером одной из сторон столба менее 300 мм изготавливаются с наценкой 30%.</t>
  </si>
  <si>
    <t>Ширина посадочного места, мм</t>
  </si>
  <si>
    <t>Цена, руб./п.м., стандартная длина крышек 2м и 3м</t>
  </si>
  <si>
    <t xml:space="preserve"> PE 0,45-0,65</t>
  </si>
  <si>
    <t>Стоимость парапетной крышки рассчитывается как стоимость нестандартного доборного элемента.</t>
  </si>
  <si>
    <t>Для расчета стоимости парапетных крышек прочих размеров в таблице расчета нестандартных размеров укажите ширину развертки штрипса для изготовления парапетной крышки</t>
  </si>
  <si>
    <t>DRIPSTOP (антиконденсатное покрытие для пн, пл) (на заказы менее 50 кв.м. DRIPSTOP не наносится!) Коэфф. расчета Dripsrop на кв.м. С20 - 1,043 НС35 - 1,132, Н60 - 1,3, Н75 - 1,5</t>
  </si>
  <si>
    <t>Штакетники М/П-образные, Круглый, Прямоугольный (в т.ч. фигурные) во всех покрытиях изготавливаются без пленки.</t>
  </si>
  <si>
    <t xml:space="preserve">Заклепочник для вытяжных заклепок 2,4-4,8 мм Stelgrit </t>
  </si>
  <si>
    <t>Саморез (металл - металл)</t>
  </si>
  <si>
    <t>Cаморез универсальный острая 3,5х20, Цинк (1000шт.)</t>
  </si>
  <si>
    <t>Cаморез универсальный острая 3,5х20, Цинк (1500шт.)</t>
  </si>
  <si>
    <t>Саморезы 5,5 х 19М бур. №3 Ral, Цинк  (250шт.)</t>
  </si>
  <si>
    <t>Саморезы 5,5 х 25М бур. №3 Ral, Цинк  (250шт.)</t>
  </si>
  <si>
    <t>Саморезы 5,5 х 32М бур. №3 Ral, Цинк  (250шт.)</t>
  </si>
  <si>
    <t>Саморезы 4,8 х 19М (на заказ) Ral, Цинк  (250шт.)</t>
  </si>
  <si>
    <t>Заклепки вытяжные</t>
  </si>
  <si>
    <t>Примечания для Дачной продукции</t>
  </si>
  <si>
    <t>Заклепка вытяжная 3,2х8 алюминий / сталь Ral (1000шт.)</t>
  </si>
  <si>
    <t xml:space="preserve">Дачный PE "склад": ПН С8 и С20 поддерживаются в цветах RAL 3005, 6005, 8017 длиной 2 м и RAL 8017 длиной  1,8 м.  Возможна доставка листов 1,7м, 1,8м, 2,5м в цветах RAL 3005, 6005, 8017. </t>
  </si>
  <si>
    <t>Заклепка вытяжная 4,0х10 (на заказ) Ral (1000шт.)</t>
  </si>
  <si>
    <t>При заказе профнастила (+штрипсы, отмотки и плоского листа пр-ва Обн.,Врн., СПБ):</t>
  </si>
  <si>
    <t>PE Optima</t>
  </si>
  <si>
    <t>Добоные элементы и парапетные крышки</t>
  </si>
  <si>
    <t>Высота/ Ширина, м.</t>
  </si>
  <si>
    <t>Цвет/покрытие</t>
  </si>
  <si>
    <t>Кол-во ребер, шт.</t>
  </si>
  <si>
    <t>Вес панели, кг</t>
  </si>
  <si>
    <r>
      <t>Цена за 1 п.м. комплекта прямого не замкнутого участка (столб 62*55 (для LIGHT столб 51 мм) под бетон+панель+крепеж скоба/2,5), руб.</t>
    </r>
    <r>
      <rPr>
        <b/>
        <sz val="10"/>
        <color indexed="10"/>
        <rFont val="Arial Cyr"/>
        <charset val="204"/>
      </rPr>
      <t>Внимание! Расчет теоретический.</t>
    </r>
    <r>
      <rPr>
        <b/>
        <sz val="10"/>
        <rFont val="Arial Cyr"/>
        <charset val="204"/>
      </rPr>
      <t xml:space="preserve"> Продажа ведется по ЭЛЕМЕНТАМ и расчет по конкретному участку будет отличаться!</t>
    </r>
  </si>
  <si>
    <t>Цена, п.м./руб.</t>
  </si>
  <si>
    <t>1,53*2,5</t>
  </si>
  <si>
    <t>зеленый RAL 6005</t>
  </si>
  <si>
    <t>1,73*2,5</t>
  </si>
  <si>
    <t>2,03*2,5</t>
  </si>
  <si>
    <t>Панель MEDIUM 
ЦИНК                                                                                                                                                                                                                                                                                                                                                                                                                                                                                                                                                                                                                                                          ячейка основная 200х55 мм
диаметр прутка  3,8 мм</t>
  </si>
  <si>
    <t>1,03*2,5</t>
  </si>
  <si>
    <t>2,43*2,5</t>
  </si>
  <si>
    <t xml:space="preserve">0,63*2,5 </t>
  </si>
  <si>
    <t xml:space="preserve">1,03*2,5 </t>
  </si>
  <si>
    <t>зеленый RAL 6005
коричневый RAL 8017</t>
  </si>
  <si>
    <t>1,73*3,0</t>
  </si>
  <si>
    <t>зеленый RAL 6005   
серый RAL 7040
коричневый RAL 8017</t>
  </si>
  <si>
    <t>2,03*3,0</t>
  </si>
  <si>
    <t>Панель PROFI
ЦИНК                                                                                                                                                                                                                                                                                                           ячейка основная 200х55 мм
диаметр прутка  4,8 мм</t>
  </si>
  <si>
    <t>0,63*2,5</t>
  </si>
  <si>
    <t>зеленый RAL 6005
серый RAL 7040</t>
  </si>
  <si>
    <t>Инструменты для ограждений</t>
  </si>
  <si>
    <t>Бензобур ADA GroundDrill-2 в комплекте со шнеком Drill 150</t>
  </si>
  <si>
    <t>Для работы 1 оператора и неглубокого бурения, двигатель 2,45 л.с., можно установить удлинитель к шнеку.</t>
  </si>
  <si>
    <t>Бензобур ADA GroundDrill-5 в комплекте со шнеком Drill 200</t>
  </si>
  <si>
    <t>Для работы двух операторов, двиг. 2,45 л.с., усиленный редуктор, можно установить удлинитель к шнеку.</t>
  </si>
  <si>
    <t>Бензобур ADA GroundDrill-7 в комплекте со шнеком Drill 250</t>
  </si>
  <si>
    <t>Более мощный двиг. 3,26 л.с., для работы двух операторов,большая глубина бурения,можно установить удлинитель к шнеку</t>
  </si>
  <si>
    <t>Бензобур ADA GroundDrill-9 в комплекте со шнеком Drill 250</t>
  </si>
  <si>
    <t>ВНИМАНИЕ! Расчет погонного метра панели LIGHT производится со столбами 51мм и креплением скоба+саморез</t>
  </si>
  <si>
    <t>Производство не складских панелей LIGHT принимаются  под заказ от 1500 штук. Покраска панелей Light в цвета, кроме RAL 6005, производится только от 1500 штук.</t>
  </si>
  <si>
    <t>При заказе  Панелей шириной 3000 мм к стоимости Панелей 2500 мм применяется коэффициент 1,20</t>
  </si>
  <si>
    <t>При заказе  Панелей шириной 3100 мм к стоимости Панелей 2500 мм применяется коэффициент 1,25</t>
  </si>
  <si>
    <t>При заказе  Панелей с ячейкой 100*50 к стоимости Панелей с ячейкой 200*50 применяется коэффициент 1,20</t>
  </si>
  <si>
    <t>При заказе  Панелей с ячейкой 150*50 к стоимости Панелей с ячейкой 200*50 применяется коэффициент 1,10</t>
  </si>
  <si>
    <t>При заказе  Панелей с ячейкой 200*50 к стоимости Панелей с ячейкой 200*55 применяется коэффициент 1,07</t>
  </si>
  <si>
    <t>При заказе  Панелей с ячейкой 200*60 к стоимости Панелей с ячейкой 200*55 применяется коэффициент 0,95</t>
  </si>
  <si>
    <t xml:space="preserve">Возможно производство под заказ от 150 погонных метров ограждения в следующих цветах: зеленый RAL 6005, синий RAL 5005,  серый RAL 7040, белый RAL 9016, желтый RAL 1021, красный RAL 3020, вишневый RAL 3005, коричневый RAL 8017, черный RAL 9005, бежевый RAL 1014 </t>
  </si>
  <si>
    <t>Остальные цвета по запросу согласно RAL с наценкой  10 %, в количестве не менее 300 погонных метров</t>
  </si>
  <si>
    <t>Панели, не помеченные как "поддерживаются на складе в цинке", в цинке и полимерном покрытии производятся в количестве от 300 штук.</t>
  </si>
  <si>
    <t>Коэффициенты применяются в последовательности от большего к меньшему</t>
  </si>
  <si>
    <t>Высота/ Ширина, м</t>
  </si>
  <si>
    <t>Цвет / покрытие</t>
  </si>
  <si>
    <t>Кол-во отверстий, шт.</t>
  </si>
  <si>
    <t>Вес, кг/шт.</t>
  </si>
  <si>
    <t>Цена, шт./руб.</t>
  </si>
  <si>
    <t xml:space="preserve">Столб оцинкованный                                                                                                                                                                                                                                                                                                                                                                                                                                                                                                                                                        с отверстиями                                                                                                                                                                                                                                                                                     и заглушкой                                                                                                                                                                                                                                       </t>
  </si>
  <si>
    <t>62*55*1,4</t>
  </si>
  <si>
    <t>Наконечник L на столб 62*55</t>
  </si>
  <si>
    <t>4 и 5</t>
  </si>
  <si>
    <t>Наконечник  V на столб 62*55</t>
  </si>
  <si>
    <t>зеленый RAL 6005
серый RAL 7040
цинк</t>
  </si>
  <si>
    <t xml:space="preserve">Столб оцинкованный                                                                                                                                                                                                                                                                            с полимерным покрытием                                                                                                                                                                                                                                                                                с отверстиями                                                                                                                                                                                                                                                                                     и заглушкой          </t>
  </si>
  <si>
    <t>60*40*1,2</t>
  </si>
  <si>
    <t>Наконечник  универсальный</t>
  </si>
  <si>
    <t>индивидуально</t>
  </si>
  <si>
    <t>коричневый RAL 8017</t>
  </si>
  <si>
    <t>78,5 х 40,5</t>
  </si>
  <si>
    <t>90*55*1,6</t>
  </si>
  <si>
    <r>
      <t xml:space="preserve">Фиксатор проволоки в наконечнике                                 </t>
    </r>
    <r>
      <rPr>
        <sz val="10"/>
        <color indexed="8"/>
        <rFont val="Arial Cyr"/>
        <charset val="204"/>
      </rPr>
      <t>(скоба + болт М6*40 + гайка М6)</t>
    </r>
  </si>
  <si>
    <t>51*1,2</t>
  </si>
  <si>
    <r>
      <t xml:space="preserve">Крепление наконечника универсального к столбу 
</t>
    </r>
    <r>
      <rPr>
        <sz val="10"/>
        <rFont val="Arial Cyr"/>
        <charset val="204"/>
      </rPr>
      <t>(болт М6*85/100 + шайба + гайка антивандальная)</t>
    </r>
  </si>
  <si>
    <t>цинк + нерж</t>
  </si>
  <si>
    <t>Комплект из 2 оснований для столба с болтовым соединением</t>
  </si>
  <si>
    <t>зеленый RAL 6005
серый RAL 7040                                                                                   цинк</t>
  </si>
  <si>
    <t>Крепление скоба</t>
  </si>
  <si>
    <t>болт М6*25 + гайка антивандальная М6</t>
  </si>
  <si>
    <r>
      <t xml:space="preserve">Анкер М12*120 </t>
    </r>
    <r>
      <rPr>
        <sz val="10"/>
        <rFont val="Arial Cyr"/>
        <charset val="204"/>
      </rPr>
      <t>для крепления столба с фланцем к бетонному основанию</t>
    </r>
  </si>
  <si>
    <t>болт М6*85 + гайка антивандальная М6</t>
  </si>
  <si>
    <t>зеленый RAL 6005, серый RAL 7040, коричневый RAL 8017, цинк</t>
  </si>
  <si>
    <t>Винтовая опора без фланца</t>
  </si>
  <si>
    <t>1 шт.</t>
  </si>
  <si>
    <t>болт М6*100 + гайка антивандальная М6</t>
  </si>
  <si>
    <t>зеленый RAL 6005, серый RAL 7040, цинк</t>
  </si>
  <si>
    <t>болт М6*110 + гайка антивандальная М6</t>
  </si>
  <si>
    <r>
      <t xml:space="preserve">Болт М16*80 </t>
    </r>
    <r>
      <rPr>
        <sz val="10"/>
        <rFont val="Arial Cyr"/>
        <charset val="204"/>
      </rPr>
      <t>для крепления столба к винтовой опоре без фланца</t>
    </r>
  </si>
  <si>
    <t>винт М6*30</t>
  </si>
  <si>
    <t xml:space="preserve">Крепление (2 скобы и болт М6х40) </t>
  </si>
  <si>
    <t>Винтовая опора на фланце</t>
  </si>
  <si>
    <r>
      <t xml:space="preserve">Крепление скоба Bastion 6/8
</t>
    </r>
    <r>
      <rPr>
        <sz val="10"/>
        <rFont val="Arial Cyr"/>
        <charset val="204"/>
      </rPr>
      <t>(болт М6*100/120/130 + гайка антивандальная М6)</t>
    </r>
  </si>
  <si>
    <t>Крепление к столбам ворот/калиток</t>
  </si>
  <si>
    <t>зеленый RAL 6005
черный RAL 9005</t>
  </si>
  <si>
    <t>Болт М12*100 + шайба + гайка
для крепления столба к винтовой опоре с фланцем</t>
  </si>
  <si>
    <t>зеленый RAL 6005
серый RAL 7024
коричневый RAL 8017
цинк</t>
  </si>
  <si>
    <t>Инструмент для монтажа винтопор</t>
  </si>
  <si>
    <r>
      <t xml:space="preserve">СББ диаметр 500/5 (6,2 витка на пог. метр)
</t>
    </r>
    <r>
      <rPr>
        <sz val="10"/>
        <rFont val="Arial Cyr"/>
        <charset val="204"/>
      </rPr>
      <t>Индивидуальная упаковка - полипропиленовый рукав</t>
    </r>
  </si>
  <si>
    <t>в бухте 10 погонных метров, цинк</t>
  </si>
  <si>
    <r>
      <t xml:space="preserve">Крепление хомут прямой </t>
    </r>
    <r>
      <rPr>
        <sz val="10"/>
        <rFont val="Arial Cyr"/>
        <charset val="204"/>
      </rPr>
      <t>(укомплектован антивандальными гайками М6)</t>
    </r>
  </si>
  <si>
    <t>62*55</t>
  </si>
  <si>
    <t>зеленый RAL 6005
серый RAL 7040
коричневый RAL 8017
цинк</t>
  </si>
  <si>
    <t>в бухте 400 погонных метров, цинк</t>
  </si>
  <si>
    <r>
      <t xml:space="preserve">Крепление хомут угловой </t>
    </r>
    <r>
      <rPr>
        <sz val="10"/>
        <rFont val="Arial Cyr"/>
        <charset val="204"/>
      </rPr>
      <t>(укомплектован антивандальными гайками М6)</t>
    </r>
  </si>
  <si>
    <r>
      <t xml:space="preserve">Крепление хомут крайний </t>
    </r>
    <r>
      <rPr>
        <sz val="10"/>
        <rFont val="Arial Cyr"/>
        <charset val="204"/>
      </rPr>
      <t>(укомплектован антивандальными гайками М6)</t>
    </r>
  </si>
  <si>
    <t xml:space="preserve">Проволока для крепления СББ/ПББ к струне оцинкованная 
d проволоки 1,6 мм </t>
  </si>
  <si>
    <r>
      <t xml:space="preserve">Крепление хомут </t>
    </r>
    <r>
      <rPr>
        <sz val="10"/>
        <color indexed="8"/>
        <rFont val="Arial Cyr"/>
        <charset val="204"/>
      </rPr>
      <t>(укомплектован антивандальными гайками М6)</t>
    </r>
  </si>
  <si>
    <t>80*80</t>
  </si>
  <si>
    <r>
      <t xml:space="preserve">Крепление хомут крайний </t>
    </r>
    <r>
      <rPr>
        <sz val="10"/>
        <color indexed="8"/>
        <rFont val="Arial Cyr"/>
        <charset val="204"/>
      </rPr>
      <t>(укомплектован антивандальными гайками М6)</t>
    </r>
  </si>
  <si>
    <r>
      <t xml:space="preserve">Штрих-корректоры
</t>
    </r>
    <r>
      <rPr>
        <sz val="10"/>
        <color indexed="8"/>
        <rFont val="Arial Cyr"/>
        <charset val="204"/>
      </rPr>
      <t>используется для реставрации полимерного покрытия</t>
    </r>
  </si>
  <si>
    <t xml:space="preserve">зеленый RAL 6005   коричневый RAL 8017
вишневый RAL 3005   серый RAL 7040
синий RAL 5005   белый RAL 9016
черный RAL 9005   желтый RAL 1021
бежевый RAL 1014   красный RAL 3020 </t>
  </si>
  <si>
    <t>20 мл</t>
  </si>
  <si>
    <t xml:space="preserve">1 шт. </t>
  </si>
  <si>
    <r>
      <t xml:space="preserve">Крепление хомут 51 мм </t>
    </r>
    <r>
      <rPr>
        <sz val="10"/>
        <color indexed="8"/>
        <rFont val="Arial Cyr"/>
        <charset val="204"/>
      </rPr>
      <t>(комплектация: хомут 51 - 1 шт; крепленипе для рулонной сетки - 1 шт; болт М6х25 с круглой головкой - 1 шт; шайба А6 - 1 шт; гайка М6 - 1шт)</t>
    </r>
  </si>
  <si>
    <t>51 мм</t>
  </si>
  <si>
    <t>зеленый RAL 6005
цинк</t>
  </si>
  <si>
    <r>
      <t xml:space="preserve">Крепление хомут 62*55 для наконечника </t>
    </r>
    <r>
      <rPr>
        <sz val="10"/>
        <rFont val="Arial Cyr"/>
        <charset val="204"/>
      </rPr>
      <t>(укомплектован антивандальными гайками М6)</t>
    </r>
  </si>
  <si>
    <r>
      <t xml:space="preserve">Клипсатор </t>
    </r>
    <r>
      <rPr>
        <sz val="10"/>
        <color indexed="8"/>
        <rFont val="Arial Cyr"/>
        <charset val="204"/>
      </rPr>
      <t>используется для обжима соединительных клипс при стыковке панелей</t>
    </r>
  </si>
  <si>
    <t>0,55*0,17</t>
  </si>
  <si>
    <t xml:space="preserve">Возможно производство под заказ от 150 погонных метров ограждения в следующих цветах: зеленый RAL 6005, синий RAL 5005, серый RAL 7040, белый RAL 9016, желтый RAL 1021, красный RAL 3020, вишневый RAL 3005, коричневый RAL 8017, черный RAL 9005, бежевый RAL 1014 </t>
  </si>
  <si>
    <t>Клипса соединительная</t>
  </si>
  <si>
    <t>* столбы изготавливаются с втулками</t>
  </si>
  <si>
    <t>Толщина, мм</t>
  </si>
  <si>
    <t>Панель Премиум</t>
  </si>
  <si>
    <t>черный RAL 9005</t>
  </si>
  <si>
    <t>4.5. Временные ограждения, Рулонная сетка</t>
  </si>
  <si>
    <t>Газонные и тротуарные ограждения</t>
  </si>
  <si>
    <t>Комплектация</t>
  </si>
  <si>
    <t>Заполнение</t>
  </si>
  <si>
    <t>Элемент модульных ограждений Grand Line®:
Стойка 84х48 -1шт
Направляющая 60х20 - 1шт
Крышка универсальная - 1шт
Панель PROFI или MEDIUM - 1шт
Крепление (2 скобы и болт М6х40) - 2шт на 1 пару стоек
Заклепки, окрашенные в цвет ограждения</t>
  </si>
  <si>
    <t>Панель MEDIUM</t>
  </si>
  <si>
    <t>Панель PROFI</t>
  </si>
  <si>
    <t>Диаметр проволоки,мм</t>
  </si>
  <si>
    <t>Высота/ Длина рулона, м</t>
  </si>
  <si>
    <t>Ячейка, мм</t>
  </si>
  <si>
    <t>2,0/25</t>
  </si>
  <si>
    <t>1,0/25</t>
  </si>
  <si>
    <t>100*50</t>
  </si>
  <si>
    <t>1,5/25</t>
  </si>
  <si>
    <t>1,8/25</t>
  </si>
  <si>
    <t>Крепление для рулонной сетки</t>
  </si>
  <si>
    <t>Инструмент для сетчатых ограждений</t>
  </si>
  <si>
    <t>Производитель</t>
  </si>
  <si>
    <t>Сфера применения</t>
  </si>
  <si>
    <t>Инструмент для выравнивания сетчатых ограждений Dress Fil</t>
  </si>
  <si>
    <t>EDMA</t>
  </si>
  <si>
    <t>Ограждения</t>
  </si>
  <si>
    <t>Регулирует натяжение сетчатых ограждений путем сгибания проволоки</t>
  </si>
  <si>
    <t>Вес,                       кг/шт.</t>
  </si>
  <si>
    <r>
      <t xml:space="preserve">Секция временного ограждения (комплект) * </t>
    </r>
    <r>
      <rPr>
        <b/>
        <sz val="10"/>
        <color indexed="10"/>
        <rFont val="Arial Cyr"/>
        <charset val="204"/>
      </rPr>
      <t>NEW</t>
    </r>
  </si>
  <si>
    <t>Панель временного ограждения 1,74х3,1 Zn - 1 шт</t>
  </si>
  <si>
    <t>1,74х3,1</t>
  </si>
  <si>
    <t>Столб временного ограждения 51х1,2х1950 Zn - 2 шт</t>
  </si>
  <si>
    <t>51х1,2х1950</t>
  </si>
  <si>
    <t>Крепление временных ограждений 51мм цинк Zn</t>
  </si>
  <si>
    <t>Бетонное основание усиленное</t>
  </si>
  <si>
    <t>0,6 х 0,2 х 0,125</t>
  </si>
  <si>
    <t>* - конструкция сборная, продается комплектом, но панели и столбы поставляются отдельно</t>
  </si>
  <si>
    <t>Высота/ Ширина/ Толщина металла, мм</t>
  </si>
  <si>
    <t>Труба профилированная стальная (3м)</t>
  </si>
  <si>
    <t>40х20х2</t>
  </si>
  <si>
    <t>чёрный металл</t>
  </si>
  <si>
    <t>60х60х2</t>
  </si>
  <si>
    <t>Заглушка пластиковая</t>
  </si>
  <si>
    <t>60х60</t>
  </si>
  <si>
    <t>чёрный</t>
  </si>
  <si>
    <t>НН - цена действительна для Поволжья (Нижний Новгород).</t>
  </si>
  <si>
    <t>Газонные, временные ограждения и рулонная сетка</t>
  </si>
  <si>
    <t>Стальные трубы для забора</t>
  </si>
  <si>
    <t>4.6. Откатные ворота Grand Line®</t>
  </si>
  <si>
    <t>Наименование Откатных ворот</t>
  </si>
  <si>
    <t>Высота, м</t>
  </si>
  <si>
    <t>Ширина, м</t>
  </si>
  <si>
    <t>Цвет на складе</t>
  </si>
  <si>
    <t>Цвета под заказ</t>
  </si>
  <si>
    <t>Состав комплекта</t>
  </si>
  <si>
    <t>Цена, руб</t>
  </si>
  <si>
    <t>Profi</t>
  </si>
  <si>
    <t>Панель Profi</t>
  </si>
  <si>
    <t>RAL 6005 - зеленый</t>
  </si>
  <si>
    <t xml:space="preserve">RAL 1014 - бежевый 
RAL 1021 - желтый 
RAL 3005 - вишневый 
RAL 3020 - красный 
RAL 5005 - синий 
RAL 7040 - серый 
RAL 8017 - коричневый 
RAL 9005 - черный 
RAL 9016 - ярко-белый </t>
  </si>
  <si>
    <t>открывание</t>
  </si>
  <si>
    <t>влево, вправо</t>
  </si>
  <si>
    <t>При заказе откатных ворот Profi необходимо указать сторону отката ворот: вправо или влево.</t>
  </si>
  <si>
    <t>Цвета на складе</t>
  </si>
  <si>
    <t>Премиум</t>
  </si>
  <si>
    <t>RAL 8017 - коричневый 
(открывание универсальное)</t>
  </si>
  <si>
    <t>RAL 6005 - зелёный 
RAL 3005 - вишневый 
RAL 7024 - серый
RR 32 - коричневый</t>
  </si>
  <si>
    <t>Премиум Плюс</t>
  </si>
  <si>
    <t>Комплект для автоматизации откатных ворот</t>
  </si>
  <si>
    <t>Длина ворот до 6 м
Цена, руб.</t>
  </si>
  <si>
    <t xml:space="preserve">Комплект включает в себя:
Привод Nice (Италия) Road400KIT
Встроенный блок управления
Встроенный радиоприемник SMXI
2 пульта Flo2R-S
Зубчатую рейку оцинкованную Alutech с креплением                                                           </t>
  </si>
  <si>
    <t>Рейка с креплением для откатных ворот</t>
  </si>
  <si>
    <t>Комплект включает в себя :
Рейка оцинкованная зубчатая ROA8
Болт с полукруглой головкой
Пластина закладная для профиля С
Скоба для профиля С</t>
  </si>
  <si>
    <t>Ворота Profi можно заказать в исполнении с механическим замком, данную опцию необходимо указывать при размещении заказа на производство, к стоимости ворот добавится стоимость замка</t>
  </si>
  <si>
    <t>Комплект: Замок для откатных ворот</t>
  </si>
  <si>
    <t>LSKZ60 U2</t>
  </si>
  <si>
    <t>Ручка</t>
  </si>
  <si>
    <t>3006S</t>
  </si>
  <si>
    <t>Цилиндр</t>
  </si>
  <si>
    <t>3012VSZ</t>
  </si>
  <si>
    <t>Ключи</t>
  </si>
  <si>
    <t>3 штуки</t>
  </si>
  <si>
    <t>Ответная планка SSKZ QF</t>
  </si>
  <si>
    <t>1 штука</t>
  </si>
  <si>
    <t>Ответная планка O-SET</t>
  </si>
  <si>
    <t>Дополнительные элементы для монтажа откатных ворот на Кирпичные столбы</t>
  </si>
  <si>
    <t>Кронштейн крепления нижнего и верхнего ловителей</t>
  </si>
  <si>
    <t xml:space="preserve">Кронштейн FLGU.400.0904 </t>
  </si>
  <si>
    <t>2 шт 
на один проём</t>
  </si>
  <si>
    <t>Кронштейн крепления поддерживающих роликов</t>
  </si>
  <si>
    <t xml:space="preserve">Кронштейн SGN.02.718 </t>
  </si>
  <si>
    <t>1 шт
на один проём</t>
  </si>
  <si>
    <t>Дополнительно можно приобрести</t>
  </si>
  <si>
    <t>Лампа сигнальная со встроенной антенной (12v EBL)</t>
  </si>
  <si>
    <t>Пульт Flo2R-S</t>
  </si>
  <si>
    <t>Фотоэлементы, пара (FE для панельных или BF для модульных ворот)</t>
  </si>
  <si>
    <t>Замковый выключатель (SELE)</t>
  </si>
  <si>
    <t>4.7. Распашные ворота и калитки Grand Line®</t>
  </si>
  <si>
    <t>1 Lock</t>
  </si>
  <si>
    <t>Калитка Profi/Bastion</t>
  </si>
  <si>
    <t>Калитка Medium</t>
  </si>
  <si>
    <t>Карта
Medium 
(без ребер жесткости)</t>
  </si>
  <si>
    <t>зеленый RAL 6005 коричневый RAL 8017</t>
  </si>
  <si>
    <t>Панель Bastion</t>
  </si>
  <si>
    <t xml:space="preserve">зеленый RAL 6005 </t>
  </si>
  <si>
    <t>3,5 Lock</t>
  </si>
  <si>
    <t>4 Lock</t>
  </si>
  <si>
    <t>5 Lock</t>
  </si>
  <si>
    <t>6 Lock</t>
  </si>
  <si>
    <t>Ворота Profi</t>
  </si>
  <si>
    <t>Ворота Medium</t>
  </si>
  <si>
    <t>Карта
Medium
(без ребер жесткости)</t>
  </si>
  <si>
    <t>серый RAL 7040</t>
  </si>
  <si>
    <t>Габаритные размеры, м</t>
  </si>
  <si>
    <t>Профиль рамки</t>
  </si>
  <si>
    <r>
      <t xml:space="preserve">Засов для калиток и ворот Profi * </t>
    </r>
    <r>
      <rPr>
        <b/>
        <sz val="10"/>
        <color indexed="10"/>
        <rFont val="Arial Cyr"/>
        <charset val="204"/>
      </rPr>
      <t>NEW</t>
    </r>
  </si>
  <si>
    <t>Засов в сборе: 
• основной кронштейн на прямоугольный / квадратный профиль–1 шт
• ответная скоба на прямоугольный / квадратный профиль–1 шт
• ось – ригель 20 мм–1 шт
• ручка – 1 шт
Саморезы 5,5 х 19 для крепления кронштейна и скобы – 8 шт</t>
  </si>
  <si>
    <t>2,00*1,00</t>
  </si>
  <si>
    <t>серый RAL 7040
коричневый RAL 8017</t>
  </si>
  <si>
    <t>62х55</t>
  </si>
  <si>
    <r>
      <t xml:space="preserve">Калитка Эконом Lock </t>
    </r>
    <r>
      <rPr>
        <b/>
        <sz val="10"/>
        <color indexed="10"/>
        <rFont val="Arial Cyr"/>
        <charset val="204"/>
      </rPr>
      <t>New</t>
    </r>
  </si>
  <si>
    <t>60х40</t>
  </si>
  <si>
    <t>* - Засов подходит для калиток и ворот серий Profi и Эконом.</t>
  </si>
  <si>
    <t>2,00*3,45</t>
  </si>
  <si>
    <t xml:space="preserve">Проушины для навесного замка </t>
  </si>
  <si>
    <t>Проушины – 2 шт
Саморезы 5,5 х 19 – 8 шт</t>
  </si>
  <si>
    <r>
      <t xml:space="preserve">Ворота Эконом Lock </t>
    </r>
    <r>
      <rPr>
        <b/>
        <sz val="10"/>
        <color indexed="10"/>
        <rFont val="Arial Cyr"/>
        <charset val="204"/>
      </rPr>
      <t>New</t>
    </r>
  </si>
  <si>
    <t>Ригель для ворот
Medium NEW (60x40), Эконом</t>
  </si>
  <si>
    <r>
      <t xml:space="preserve">Ригель в сборе - 1 шт
Саморезы 5,5х19 - 6 шт
</t>
    </r>
    <r>
      <rPr>
        <b/>
        <sz val="10"/>
        <rFont val="Arial Cyr"/>
        <charset val="204"/>
      </rPr>
      <t>(не подходит для ворот из круглой трубы 51 мм)</t>
    </r>
  </si>
  <si>
    <t>зеленый RAL 6005
серый RAL 7040
черный RAL 9005</t>
  </si>
  <si>
    <t xml:space="preserve">Комплект ворот и калитки Medium </t>
  </si>
  <si>
    <r>
      <t xml:space="preserve">Комплект ворот включает: </t>
    </r>
    <r>
      <rPr>
        <sz val="10"/>
        <rFont val="Arial Cyr"/>
        <charset val="204"/>
      </rPr>
      <t xml:space="preserve">2 створки, 2 опорных столба, петли Locinox GAM12  угол открывания 130 град, замок Locinox LAKZ P1, ригель, планка ответная
</t>
    </r>
    <r>
      <rPr>
        <b/>
        <sz val="10"/>
        <rFont val="Arial Cyr"/>
        <charset val="204"/>
      </rPr>
      <t xml:space="preserve">Комплект калитки включает: </t>
    </r>
    <r>
      <rPr>
        <sz val="10"/>
        <rFont val="Arial Cyr"/>
        <charset val="204"/>
      </rPr>
      <t>1 створка, 2 опорных столба, петли Locinox GAM12 угол открывания 130 град, замок Locinox LAKZ P1, планка ответная</t>
    </r>
  </si>
  <si>
    <t>Калитка Премиум</t>
  </si>
  <si>
    <t>вишневый RAL 3005
зеленый RAL 6005
серый RAL 7024
коричневый RAL 8017
коричневый RR 32</t>
  </si>
  <si>
    <t>Комплект ворот и калитки  Эконом NoLock</t>
  </si>
  <si>
    <r>
      <t xml:space="preserve">Комплект ворот включает: </t>
    </r>
    <r>
      <rPr>
        <sz val="10"/>
        <rFont val="Arial Cyr"/>
        <charset val="204"/>
      </rPr>
      <t xml:space="preserve">2 створки, 2 опорных столба, петли Locinox GAM12 угол открывания 130град, притворная планка для навесного замка, 1 ригель
</t>
    </r>
    <r>
      <rPr>
        <b/>
        <sz val="10"/>
        <rFont val="Arial Cyr"/>
        <charset val="204"/>
      </rPr>
      <t xml:space="preserve">Комплект калитки включает: 1 </t>
    </r>
    <r>
      <rPr>
        <sz val="10"/>
        <rFont val="Arial Cyr"/>
        <charset val="204"/>
      </rPr>
      <t>створка, 2 опорных столба, петли Locinox GAM12 угол открывания 130град, притворная планка</t>
    </r>
  </si>
  <si>
    <t xml:space="preserve">Калитка Премиум Плюс  </t>
  </si>
  <si>
    <t xml:space="preserve"> 2,00*1,00</t>
  </si>
  <si>
    <t xml:space="preserve">Ворота Премиум </t>
  </si>
  <si>
    <t>2,00*3,6</t>
  </si>
  <si>
    <t>Комплект ворот и калитки  Эконом Lock</t>
  </si>
  <si>
    <r>
      <rPr>
        <b/>
        <sz val="10"/>
        <rFont val="Arial Cyr"/>
        <charset val="204"/>
      </rPr>
      <t>Комплект ворот включает:</t>
    </r>
    <r>
      <rPr>
        <sz val="10"/>
        <rFont val="Arial Cyr"/>
        <charset val="204"/>
      </rPr>
      <t xml:space="preserve"> 2 створки, 2 опорных столба, петли Locinox GAM12, угол открывания 130°, замок FORTYLOCK, планка ответная, 1 ригель
</t>
    </r>
    <r>
      <rPr>
        <b/>
        <sz val="10"/>
        <rFont val="Arial Cyr"/>
        <charset val="204"/>
      </rPr>
      <t>Комплект калитки включает:</t>
    </r>
    <r>
      <rPr>
        <sz val="10"/>
        <rFont val="Arial Cyr"/>
        <charset val="204"/>
      </rPr>
      <t xml:space="preserve"> 1 створка, 2 опорных столба, петли Locinox GAM12, угол открывания 130°, замок FORTYLOCK, планка ответная</t>
    </r>
  </si>
  <si>
    <t xml:space="preserve">Ворота Премиум Плюс </t>
  </si>
  <si>
    <t>Комплект ворот и калитки Profi, Премиум и Премиум плюс</t>
  </si>
  <si>
    <r>
      <t xml:space="preserve">Комплект ворот включает:
</t>
    </r>
    <r>
      <rPr>
        <sz val="10"/>
        <rFont val="Arial Cyr"/>
        <charset val="204"/>
      </rPr>
      <t xml:space="preserve">2 створки ворот, 2 опорных столба, регулируемые петли угол открывания 180 град, замок Locinox, ответная планка, 2 ригеля Locinox для фиксации створок в землю 
</t>
    </r>
    <r>
      <rPr>
        <b/>
        <sz val="10"/>
        <rFont val="Arial Cyr"/>
        <charset val="204"/>
      </rPr>
      <t xml:space="preserve">Комплект калитки включает:
</t>
    </r>
    <r>
      <rPr>
        <sz val="10"/>
        <rFont val="Arial Cyr"/>
        <charset val="204"/>
      </rPr>
      <t>створка, 2 столба, регулируемые петли угол открывания 180 град, ответная планка, замок Locinox</t>
    </r>
  </si>
  <si>
    <t>Цены указаны на  стандартные цвета. Возможно исполнение в других цветах стоимость по согласованию.</t>
  </si>
  <si>
    <t>Cтандартные цвета по RAL: 1014, 1021, 3005, 3020, 5005, 6005, 7040, 8017, 9005, 9016.</t>
  </si>
  <si>
    <t>Размеры</t>
  </si>
  <si>
    <t>мин</t>
  </si>
  <si>
    <t>макс</t>
  </si>
  <si>
    <t>Комплект: Промышленный замок в металлическом корпусе*</t>
  </si>
  <si>
    <t>Замок LAKQ6060 (4040) U2**</t>
  </si>
  <si>
    <t>60мм</t>
  </si>
  <si>
    <t>80мм</t>
  </si>
  <si>
    <t>6005, 9005, Алюминий</t>
  </si>
  <si>
    <t>Ответная планка из полиамида</t>
  </si>
  <si>
    <t>SMKL QF</t>
  </si>
  <si>
    <t>40мм</t>
  </si>
  <si>
    <t>&gt;</t>
  </si>
  <si>
    <t>6005, 9005, 9010</t>
  </si>
  <si>
    <t>3006М</t>
  </si>
  <si>
    <t>Элемент быстрого монтажа</t>
  </si>
  <si>
    <t>QUICK-FIX</t>
  </si>
  <si>
    <t>Ответная планка SAKL QF</t>
  </si>
  <si>
    <t>Упорная часть</t>
  </si>
  <si>
    <t>Алюминий с резиновыми полосами</t>
  </si>
  <si>
    <t>Петля для промышленных ворот</t>
  </si>
  <si>
    <t>GBMU4DSHIELD12</t>
  </si>
  <si>
    <t>Сталь</t>
  </si>
  <si>
    <t>Петля с регулировкой в четырех направлениях</t>
  </si>
  <si>
    <t>Комплект: Электро механический замок в металлическом корпусе*</t>
  </si>
  <si>
    <t>LEKQ6060 U4</t>
  </si>
  <si>
    <t>GBMU4DSHIELD16</t>
  </si>
  <si>
    <t>3006R</t>
  </si>
  <si>
    <t>GBMU4D16Z</t>
  </si>
  <si>
    <t>GBMU4D20Z</t>
  </si>
  <si>
    <t>Комплект : Замок в полиамидном корпусе*</t>
  </si>
  <si>
    <t>LAKZ6060 (4040) P1**</t>
  </si>
  <si>
    <t>G90Z-M20</t>
  </si>
  <si>
    <t>Петля с регулировкой в одном направлении</t>
  </si>
  <si>
    <t>3006P</t>
  </si>
  <si>
    <t>3012VCA</t>
  </si>
  <si>
    <t>Петля универсальная</t>
  </si>
  <si>
    <r>
      <t xml:space="preserve"> GAM12 130 мм </t>
    </r>
    <r>
      <rPr>
        <sz val="10"/>
        <rFont val="Arial Cyr"/>
        <charset val="204"/>
      </rPr>
      <t>(для калиток Эконом)</t>
    </r>
  </si>
  <si>
    <t>50 штук</t>
  </si>
  <si>
    <t>Петля универсального открывания</t>
  </si>
  <si>
    <r>
      <t xml:space="preserve"> GAM12 150 мм </t>
    </r>
    <r>
      <rPr>
        <sz val="10"/>
        <rFont val="Arial Cyr"/>
        <charset val="204"/>
      </rPr>
      <t>(для ворот Эконом)</t>
    </r>
  </si>
  <si>
    <t>Комплект: Врезной замок HYBRID*</t>
  </si>
  <si>
    <t>HYBRID 6060</t>
  </si>
  <si>
    <t>отсутствует</t>
  </si>
  <si>
    <t>Ригель створки ворот</t>
  </si>
  <si>
    <t>VSF QF</t>
  </si>
  <si>
    <t>мин 40</t>
  </si>
  <si>
    <t>+140</t>
  </si>
  <si>
    <t>+100</t>
  </si>
  <si>
    <t>Основная часть - алюминий, Запорная часть - цинк</t>
  </si>
  <si>
    <t>Ручки</t>
  </si>
  <si>
    <t>3006M,   алюминий</t>
  </si>
  <si>
    <t>Цилиндр и ключи</t>
  </si>
  <si>
    <t>3012G33Z, 3 штуки</t>
  </si>
  <si>
    <t>Фиксатор ригелей ворот</t>
  </si>
  <si>
    <t>OGS</t>
  </si>
  <si>
    <t>40-50-60</t>
  </si>
  <si>
    <t xml:space="preserve">ригелей VSF VSA </t>
  </si>
  <si>
    <t xml:space="preserve">Полиэтилен армированный стекловолокном                     </t>
  </si>
  <si>
    <t>Защитная накладка для замка</t>
  </si>
  <si>
    <t>3020-HYB, цвет - черный</t>
  </si>
  <si>
    <t>ответная планка SHKM</t>
  </si>
  <si>
    <t>Цвет алюминий</t>
  </si>
  <si>
    <t>Фиксатор створки ворот</t>
  </si>
  <si>
    <t>UGC</t>
  </si>
  <si>
    <t>Алюмин</t>
  </si>
  <si>
    <t>+40</t>
  </si>
  <si>
    <t>Положение крюка под нижним профилем ворот</t>
  </si>
  <si>
    <t>Комплект: Врезной замок FORTYLOCK*</t>
  </si>
  <si>
    <t xml:space="preserve">FORTYLOCKSET40ALUSTD </t>
  </si>
  <si>
    <t>40 мм</t>
  </si>
  <si>
    <t>Доводчик</t>
  </si>
  <si>
    <t>SAMSON-2</t>
  </si>
  <si>
    <t>мин 40 мм</t>
  </si>
  <si>
    <t xml:space="preserve">Регулируемые скорость и сила закрытия </t>
  </si>
  <si>
    <t>Доводчик гидравлический</t>
  </si>
  <si>
    <t>MAMMOTH</t>
  </si>
  <si>
    <t>Регулируемые скорость и сила закрытия</t>
  </si>
  <si>
    <t>3012-54-STD-VSZ, 3 штуки</t>
  </si>
  <si>
    <t>пластик</t>
  </si>
  <si>
    <t>Доводчик регулируемый (без рельсы)</t>
  </si>
  <si>
    <t>VERTICLOSE</t>
  </si>
  <si>
    <t>мин 70 мм</t>
  </si>
  <si>
    <t>Регулируемые скорость и сила закрытия                                                                 Отбойник прилагается в комплекте</t>
  </si>
  <si>
    <t>Ответная планка SFKI</t>
  </si>
  <si>
    <t>Комплект: Замок для откатных ворот*</t>
  </si>
  <si>
    <t>LSKZ6060 U2</t>
  </si>
  <si>
    <t>Фиксатор створки ворот антивандальный</t>
  </si>
  <si>
    <t>HOOK-IN</t>
  </si>
  <si>
    <t>нерж</t>
  </si>
  <si>
    <t>Предотвращает взлом ворот с помощью лома</t>
  </si>
  <si>
    <t>Нержавеющая сталь</t>
  </si>
  <si>
    <t xml:space="preserve">*Стоимость комплекта складывается из замка (ручки, цилиндр, ключи – отдельно не продаются) и ответной планки
</t>
  </si>
  <si>
    <t>Алюминий</t>
  </si>
  <si>
    <t>**6060 (4040) – поддерживается на складе для 60 и 40 профиля</t>
  </si>
  <si>
    <t>Дополнительно можно заказать любую продукцию из каталога Locinox, сроки поставки и цену узнавайте в отделах продаж</t>
  </si>
  <si>
    <t>рулон</t>
  </si>
  <si>
    <t>Ед.изм.</t>
  </si>
  <si>
    <t>Ковер подкладочный Fel*Х</t>
  </si>
  <si>
    <t>Минимальная партия</t>
  </si>
  <si>
    <t>Цена, ед.изм.</t>
  </si>
  <si>
    <t>Комплекты для ремонта</t>
  </si>
  <si>
    <t>Кровельный 4,8*29 Zn, Ral</t>
  </si>
  <si>
    <t>Корректор для ремонта царапин (12 мл.)</t>
  </si>
  <si>
    <t>Кровельный 4,8*35 Zn, Ral</t>
  </si>
  <si>
    <t>Коньковый   4,8*50 * Zn, Ral</t>
  </si>
  <si>
    <t>Краска аэрозоль (400 мл)</t>
  </si>
  <si>
    <t>Коньковый   4,8*70 Zn, Ral</t>
  </si>
  <si>
    <t>Cаморез универсальный острая 3,5х20, Цинк (для кляммеров фальца)</t>
  </si>
  <si>
    <t>Саморезы 5,5 х 19М бур. №3 Ral, Цинк</t>
  </si>
  <si>
    <t>Герметик Hauser UNI бесцветный (260 мл) силиконовый универсальный</t>
  </si>
  <si>
    <t>Саморезы 5,5 х 25М бур. №3 Ral, Цинк</t>
  </si>
  <si>
    <t>Гидроизоляция примыканий</t>
  </si>
  <si>
    <t>Саморезы 5,5 х 32М бур. №3 Ral, Цинк</t>
  </si>
  <si>
    <t>NICOBAND самоклеящаяся герметизирующая лента (10мх10см)</t>
  </si>
  <si>
    <t>Саморезы 4,8 х 19М * Ral, Цинк</t>
  </si>
  <si>
    <t>Саморезы с прессшайбой острые 4,2х16 Ral</t>
  </si>
  <si>
    <t>Tytan Proffessional RS Tape лента битумная для кровли (10cмх10м)</t>
  </si>
  <si>
    <t>Саморезы с прессшайбой острые 4,2х19 Ral</t>
  </si>
  <si>
    <t>Лента для примыкания Grand Line гофр. алюм.(0,3х5 м) (кирпичн., кор., черн., темно-красн.)</t>
  </si>
  <si>
    <t>Саморезы с прессшайбой острые 4,2х25 Ral</t>
  </si>
  <si>
    <t>Саморезы с прессшайбой острые 4,2х16 Цинк</t>
  </si>
  <si>
    <r>
      <t>Лента для примыкания Grand Line гофр. алюм.(0,3х2,5 м) (коричн., черн.)</t>
    </r>
    <r>
      <rPr>
        <b/>
        <sz val="10"/>
        <color indexed="10"/>
        <rFont val="Arial Cyr"/>
        <charset val="204"/>
      </rPr>
      <t xml:space="preserve"> </t>
    </r>
  </si>
  <si>
    <t>Саморезы с прессшайбой острые 4,2х19 Цинк</t>
  </si>
  <si>
    <r>
      <t>Ковер подкладочный</t>
    </r>
    <r>
      <rPr>
        <b/>
        <sz val="10"/>
        <color indexed="10"/>
        <rFont val="Arial Cyr"/>
        <charset val="204"/>
      </rPr>
      <t xml:space="preserve"> </t>
    </r>
  </si>
  <si>
    <t>Саморезы с прессшайбой острые 4,2х25 Цинк</t>
  </si>
  <si>
    <t>Кляммер кровельный</t>
  </si>
  <si>
    <t>Саморезы с прессшайбой сверло 4,2х16 Ral</t>
  </si>
  <si>
    <t>Саморезы с прессшайбой сверло 4,2х19 Ral</t>
  </si>
  <si>
    <t>Саморезы с прессшайбой сверло 4,2х25 Ral</t>
  </si>
  <si>
    <t>Аэроэлементы</t>
  </si>
  <si>
    <t>Саморезы с прессшайбой сверло 4,2х16 Цинк</t>
  </si>
  <si>
    <t>Аэроэлемент конька Grand Line 240х5000 (5м) (черный, коричневый)</t>
  </si>
  <si>
    <t>Саморезы с прессшайбой сверло 4,2х19 Цинк</t>
  </si>
  <si>
    <t xml:space="preserve">Аэроэлемент конька Grand Line 240х2500 (2,5м) (черн., кор.) </t>
  </si>
  <si>
    <t>Саморезы с прессшайбой сверло 4,2х25 Цинк</t>
  </si>
  <si>
    <t>Аэроэлемент конька Grand Line 310х5000 (5м) (черный, коричневый)</t>
  </si>
  <si>
    <r>
      <rPr>
        <b/>
        <sz val="10"/>
        <rFont val="Arial Cyr"/>
        <charset val="204"/>
      </rPr>
      <t>Складские цвета саморезов ПШ и ПШС</t>
    </r>
    <r>
      <rPr>
        <sz val="10"/>
        <rFont val="Arial Cyr"/>
        <charset val="204"/>
      </rPr>
      <t>: 3005,5005,6005,8017,9003 по каталогу RAL, а также в Цинке. 
Прочие цвета под заказ.</t>
    </r>
  </si>
  <si>
    <t>Лента вентиляционная Grand Line ПВХ для карниза (коричн./черн./беж.) 100х5000 (5м)</t>
  </si>
  <si>
    <t xml:space="preserve">Защитные козырьки Krovent </t>
  </si>
  <si>
    <t>Заклепка вытяжная 3,2х8 (1000 шт.) алюминий / сталь Ral</t>
  </si>
  <si>
    <t>Возможные цвета: 
Прозрачный, Серебристый, Бронзовый, Молочный, Красный, Зеленый</t>
  </si>
  <si>
    <t>Цена/п.м.</t>
  </si>
  <si>
    <t>Цена/шт.</t>
  </si>
  <si>
    <t>Уплотнитель под металлочерепицу "Classic/Modern" (1,1м)</t>
  </si>
  <si>
    <t>20 х 1000</t>
  </si>
  <si>
    <t>Уплотнитель под металлочерепицу "Кредо" (1,125м)</t>
  </si>
  <si>
    <t>Уплотнитель универсальный 30х40 (2м)</t>
  </si>
  <si>
    <t>30х40х2000</t>
  </si>
  <si>
    <t>Уплотнитель универсальный 30х50 (2м)</t>
  </si>
  <si>
    <t>30х50х2000</t>
  </si>
  <si>
    <t>Уплотнитель универс. с клеевым слоем 20х40 (2м)</t>
  </si>
  <si>
    <t>20x40x2000</t>
  </si>
  <si>
    <t>Уплотнитель универс. с клеевым слоем 30х40 (2м)</t>
  </si>
  <si>
    <t>30x40x2000</t>
  </si>
  <si>
    <t>Уплотнитель универс. с клеевым слоем 30х50 (2м)</t>
  </si>
  <si>
    <t>Уплотнитель профильный (коньковый, обратный)</t>
  </si>
  <si>
    <t>Уплотнитель профильный для профнастила GL 20 (1,1м)</t>
  </si>
  <si>
    <t>20 х 1100</t>
  </si>
  <si>
    <t>Таблица рекомендуемых цветов саморезов и соответствие цветов обратки цветным покрытиям</t>
  </si>
  <si>
    <t>Уплотнитель профильный для профнастила GL 21 (1м)</t>
  </si>
  <si>
    <t>Саморезы, RAL***</t>
  </si>
  <si>
    <t xml:space="preserve">Соответствие цветов обратки цветам покрытий </t>
  </si>
  <si>
    <t>Уплотнитель профильный для профнастила GL 35 (1м)</t>
  </si>
  <si>
    <t>25 х 1000</t>
  </si>
  <si>
    <t>Уплотнитель профильный для профнастила GL 60 (0,845м)</t>
  </si>
  <si>
    <t>30 х 845</t>
  </si>
  <si>
    <t>Уплотнитель профильный для профнастила GL 75 (0,75м)</t>
  </si>
  <si>
    <t>30 х 750</t>
  </si>
  <si>
    <t>Уплотнители самоклеющиеся (саморасширяющийся и клиновидный)</t>
  </si>
  <si>
    <t>Уплотнитель саморасширяющийся 15х30 (5,6м)</t>
  </si>
  <si>
    <t>15х30х5600</t>
  </si>
  <si>
    <t>Уплотнитель саморасширяющийся 15*40 (4м)</t>
  </si>
  <si>
    <t>15х40х4000</t>
  </si>
  <si>
    <t>Уплотнитель саморасширяющийся 20*40 (4м)</t>
  </si>
  <si>
    <t>20х40х4000</t>
  </si>
  <si>
    <t>Уплотнитель саморасшир. с клеевым слоем 10х20 (8м)</t>
  </si>
  <si>
    <t>10х20х8000</t>
  </si>
  <si>
    <t>Уплотнитель клиновидный (1м)</t>
  </si>
  <si>
    <t xml:space="preserve"> 30х50х1000</t>
  </si>
  <si>
    <t>*** - рекомендуемые цвета саморезов</t>
  </si>
  <si>
    <t>Саморезы 4,8 (29,35,50,70)</t>
  </si>
  <si>
    <t>Саморезы 5,5 (19,25,32); 4,8 (19)</t>
  </si>
  <si>
    <t>Cаморезы ПШ острая/сверло 4,2 (16,19,25); 
универсальный острая 3,5х20; 
Заклепка вытяжная 3,2х8, 4,0х10</t>
  </si>
  <si>
    <t>Шумоизолирующая лента под фальц</t>
  </si>
  <si>
    <t>Краска аэрозоль</t>
  </si>
  <si>
    <t>Герметик GL</t>
  </si>
  <si>
    <t xml:space="preserve">Герметик Hauser </t>
  </si>
  <si>
    <t>Герметизирующая лента NICOBAND</t>
  </si>
  <si>
    <t>Лента битумная для кровли Tytan</t>
  </si>
  <si>
    <t>Лента для примыкания Grand Line</t>
  </si>
  <si>
    <t>Характеристики</t>
  </si>
  <si>
    <t>5.4. Экструзионный пенополистирол XPS CARBON ECO</t>
  </si>
  <si>
    <t>Комплектующие для экструзионного пенополистирола</t>
  </si>
  <si>
    <t>м3</t>
  </si>
  <si>
    <t xml:space="preserve">
XPS CARBON ECO</t>
  </si>
  <si>
    <t>Баллон - 1000 мл., 
Налив 750 мл.</t>
  </si>
  <si>
    <t>Крепеж ТЕХНОНИКОЛЬ № 1 для фиксации XPS и профилированной мембраны PLANTER. "ТН-КРЕПЫШ"</t>
  </si>
  <si>
    <t>XPS CARBON ECO SP (Утепленная шведская плита)</t>
  </si>
  <si>
    <t xml:space="preserve">Крепеж ТЕХНОНИКОЛЬ № 2 для фиксации XPS и профилированной мембраны PLANTER. "ТН-КРЕПЫШ"
</t>
  </si>
  <si>
    <t>XPS CARBON ECO FAS</t>
  </si>
  <si>
    <t xml:space="preserve">
Винт R16 XPS ТЕХНОНИКОЛЬ</t>
  </si>
  <si>
    <t xml:space="preserve">
XPS CARBON DRAIN</t>
  </si>
  <si>
    <t xml:space="preserve">Профилированные мембраны PLANTER </t>
  </si>
  <si>
    <t>Плотность, г/м2</t>
  </si>
  <si>
    <t>Комплектация для мембран PLANTER</t>
  </si>
  <si>
    <t>PLANTER eco</t>
  </si>
  <si>
    <t>2,0 х 20</t>
  </si>
  <si>
    <t>PLANTERBAND</t>
  </si>
  <si>
    <t>10 см х 10 м</t>
  </si>
  <si>
    <t>2,0 х 10</t>
  </si>
  <si>
    <t>PLANTERBAND DUO</t>
  </si>
  <si>
    <t>5 см х 10 м</t>
  </si>
  <si>
    <t>PLANTER standard</t>
  </si>
  <si>
    <t>PLANTER base</t>
  </si>
  <si>
    <t>35 мм</t>
  </si>
  <si>
    <t>1,0 х 20</t>
  </si>
  <si>
    <t>PLANTER Fixing</t>
  </si>
  <si>
    <t>50 мм</t>
  </si>
  <si>
    <t>PLANTER Krep</t>
  </si>
  <si>
    <t>40 x 40 x 40 мм</t>
  </si>
  <si>
    <t>PLANTER geo</t>
  </si>
  <si>
    <t>2,0 х 15</t>
  </si>
  <si>
    <t>PLANTER profile</t>
  </si>
  <si>
    <t>7 см х 2 м</t>
  </si>
  <si>
    <t>Пенополистирол CARBON</t>
  </si>
  <si>
    <t>Комплектующие для пенополистирола</t>
  </si>
  <si>
    <t>Мастика ТН №27</t>
  </si>
  <si>
    <t>Мембраны PLANTER</t>
  </si>
  <si>
    <t>Комплектующие для мембран Planter</t>
  </si>
  <si>
    <t>5.5. Профессиональный инструмент</t>
  </si>
  <si>
    <t>НА ЭТОЙ СТРАНИЦЕ ПРЕДСТАВЛЕН ТОЛЬКО САМЫЙ НЕОБХОДИМЫЙ ИНСТРУМЕНТ ДЛЯ МОНТАЖА КОНКРЕТНОЙ ПРОДУКЦИИ</t>
  </si>
  <si>
    <t xml:space="preserve">ПРАЙС-ЛИСТ С ПОЛНЫМ АССОРТИМЕНТОМ ИНСТРУМЕНТОВ ДОСТУПЕН ПО ССЫЛКЕ  </t>
  </si>
  <si>
    <t>http://www.grandline.ru/uploads/files/prajsi/prais_na_instrument.pdf</t>
  </si>
  <si>
    <t>Код в 1С</t>
  </si>
  <si>
    <t>Группа</t>
  </si>
  <si>
    <t>Металлочерепица, профнастил</t>
  </si>
  <si>
    <t>Насадка-ножницы Стальной Бобер® для резки металла (короб)</t>
  </si>
  <si>
    <t xml:space="preserve">Насадка на дрель. Резать металлочерепицу на торцах, примыканиях, в ендовах (насадка, 3 матрицы, 2 пуансона, ручка, ключ, металл. коробка) </t>
  </si>
  <si>
    <t>A</t>
  </si>
  <si>
    <t>Дополнительный сменный пильный диск с резаку</t>
  </si>
  <si>
    <t>C</t>
  </si>
  <si>
    <t xml:space="preserve">Насадка-ножницы Стальной Бобер® для резки металла (блистер) </t>
  </si>
  <si>
    <t xml:space="preserve">Насадка на дрель. Резать металлочерепицу на торцах, примыканиях, в ендовах  (насадка, 2 матрицы, 1 пуансон, ручка, ключ) </t>
  </si>
  <si>
    <t>Ножницы вырубные NC380 Status</t>
  </si>
  <si>
    <t>Электрический проф. инструмент для резки металлочерепицы.</t>
  </si>
  <si>
    <t>D</t>
  </si>
  <si>
    <t>Ножницы подрезные левые PL</t>
  </si>
  <si>
    <t>Рычажные ножницы для подрезки металла у кромки заготовки. Удобно подрезать в размер доборные элементы стандартной длины.</t>
  </si>
  <si>
    <t>Рычажные ножницы для подрезки металла у кромки заготовки. Подрезать в размер доборные элементы стандартной длины.</t>
  </si>
  <si>
    <t>Ножницы подрезные правые PL</t>
  </si>
  <si>
    <t>Клещи 45 град 55мм накладное соединение PL</t>
  </si>
  <si>
    <t>Подогнуть металл на концах торцевых планок, в примыканиях, ендове.</t>
  </si>
  <si>
    <t>Молоток гвоздодер с магн. держ. гвоздя Volkshammer</t>
  </si>
  <si>
    <t>В случае крепления гвоздями закрепить листы черепицы и доборные элементы. Магнитный держатель гвоздя.</t>
  </si>
  <si>
    <t>Шуруповерт IVT Li-14,4 EGK (комп. 2 аккумулятора)</t>
  </si>
  <si>
    <t xml:space="preserve">Быстро и легко вкрутить даже длинные саморезы. Li-ion аккумулятор, макс. крутящий момент 28Нм, напряжение 14,4В. </t>
  </si>
  <si>
    <t>Магнитная насадка 8х48 Nox</t>
  </si>
  <si>
    <t>Прикрутить кровельные саморезы с головкой под шестигранную биту</t>
  </si>
  <si>
    <t>Пистолет для герметика скелетный PL</t>
  </si>
  <si>
    <t>Для герметика в картридже. Нанести герметик из катриджа в местах примыканий металла к металлу, кирпичу, камню или дереву.</t>
  </si>
  <si>
    <t>Рулетка 10м с магнитом, 2 фиксатора Metric Style</t>
  </si>
  <si>
    <t>Ширина ленты 25мм, магнитный крючок. Снять размеры для подреза доборных элементов и черепицы в ендове и примыканиях.</t>
  </si>
  <si>
    <t>Ширина ленты 25мм, магнитный крючок. Снять размеры для подреза доборных элементов и металлочерепицы в ендове и примыканиях.</t>
  </si>
  <si>
    <t>Гибкая битумная черепица</t>
  </si>
  <si>
    <t>Подрезать гонты черепицы в ендове, торцах, коньке. Удобен в работе за счет крючкообразного лезвия.</t>
  </si>
  <si>
    <t>Закрепить гвоздями гонты битумной черепицы и доборные эдементы.</t>
  </si>
  <si>
    <t>Подогнуть фальцевую картину на карнизном свесе одним движением без заломов, в ендове, на торцах, примыканиях и при соединении картин по длине.</t>
  </si>
  <si>
    <t>B</t>
  </si>
  <si>
    <t>Ножницы подрезные/проходные левые PL</t>
  </si>
  <si>
    <t>Подрезать картины в узлах: карниз, конек, торец, ендова, примыкание. Удобно подрезать в размер доборные элементы стандартной длины.  Эффективно режут металл и укромки, и по середине листа.</t>
  </si>
  <si>
    <t>Комплект: бита для саморезов ПШ и магнитный держатель PL</t>
  </si>
  <si>
    <t>Прикрутить саморезы строго под углом 90°. Благодаря магниту нет необходимости придерживать саморез второй рукой.</t>
  </si>
  <si>
    <t>Ножницы подрезные/проходные правые PL</t>
  </si>
  <si>
    <t>Ширина ленты 25мм, магнитный крючок. Снять размеры для подреза доборных элементов и панелей сайдинга.</t>
  </si>
  <si>
    <t>Молоток кровельный с пластиковыми наконечниками 30мм PL</t>
  </si>
  <si>
    <t>Смонтировать узлы примыкания, ендова, соединение картин по длине. Безотбойный легкий молоток.</t>
  </si>
  <si>
    <t>Пробойник насечек SL5 Malco</t>
  </si>
  <si>
    <t>Надежно закрепить панель сайдинга в финишной планке, а также околооконную планку. Прорубает П-образные насечки.</t>
  </si>
  <si>
    <t>Струбцина 150х50мм PL</t>
  </si>
  <si>
    <t>Поднять картины на кровлю так чтобы не погнуть их. Струбцины установить с интервалом 1,5-2,0 м, поднимать по направляющим</t>
  </si>
  <si>
    <t>Расширить крепежное отверстие если центр самореза не попадает в  его середину. Это поможет избежать волнистости панелей, вызванной температурным расширением сайдинга.</t>
  </si>
  <si>
    <t>Прикрутить кровельные саморезы с головкой под шестигранную биту в местах крепления доборных элементов.</t>
  </si>
  <si>
    <t>Ширина ленты 25мм, магнитный крючок. Снять размеры для подреза доборных элементов и фальц. картин в ендове, торцах и примыканиях.</t>
  </si>
  <si>
    <t>Ограждения, штакетник</t>
  </si>
  <si>
    <t>Сформировать замки Г-образного фальца – 1-й шаг</t>
  </si>
  <si>
    <t>Пробурить лунки под столбы ограждения на глубину промерзания грунта (1,6 м) сэкономив силы, время и количество бетона. Для одного оператора, двигатель 2,45 л.с., можно установить удлинитель к шнеку.</t>
  </si>
  <si>
    <t>Сформировать Г-образный замок в двойной стоячий фальц – 2-й шаг</t>
  </si>
  <si>
    <t>Подрезать в размер штакетник стандартной длины.</t>
  </si>
  <si>
    <t>Подогнуть фальцевую картину на карнизном свесе без заломов, в ендове, на торцах, примыканиях и при соединении картин по длине.</t>
  </si>
  <si>
    <t>Ножницы комбинированные правые PL</t>
  </si>
  <si>
    <t>Подрезать в размер доборные элементы и картины в узлах: карниз, конек, торец, ендова, примыкание. Гладкие лезвия не оставляют заусенец, которые могут быть причиной разрыва металла в месте реза. Подходят для прямых и криволинейных резов. Необходимы правые и левые ножницы. PL - производство Польша, Stubai - производство Австрия, один из ведущих производителей фальцевого инструмента</t>
  </si>
  <si>
    <t>Ножницы комбинированные левые PL</t>
  </si>
  <si>
    <t>Ножницы комбинированные правые Stubai</t>
  </si>
  <si>
    <t>Ширина ленты 25мм, магнитный крючок. Разметить лунки под столбы ограждений, высоту столбов и пр.</t>
  </si>
  <si>
    <t>Ножницы комбинированные левые Stubai</t>
  </si>
  <si>
    <t>Киянка усеченная Stubai</t>
  </si>
  <si>
    <t>Смонтировать узлы примыкания, ендова, соединение картин по длине.</t>
  </si>
  <si>
    <t>Ножницы авиационные универсальные 42мм EDMA</t>
  </si>
  <si>
    <t>Подрезать в размер профиль для крепления гипсокартонных листов.</t>
  </si>
  <si>
    <t>Клещи для соед. ГК-профилей унив. ПР-07</t>
  </si>
  <si>
    <t>Быстро и легко соединить профили между собой без использования саморезов и заклепок. ПР-07 - Россия, max толщина металла 0,75мм+0,75мм, EDMA - Франция, max толщина металла 1,0мм+1,0мм</t>
  </si>
  <si>
    <t>Клещи большие прямые 180мм накладное соединение EDMA</t>
  </si>
  <si>
    <t>Подогнуть металл на высоту 150мм в узлах примыкания к трубе, стене.</t>
  </si>
  <si>
    <t>Клещи для соединения ГК профилей Master Profil EDMA</t>
  </si>
  <si>
    <t>Ширина ленты 25мм, магнитный крючок. Снять размеры для подреза профилей, разметки их размещения.</t>
  </si>
  <si>
    <t>Паро-гидроизоляция</t>
  </si>
  <si>
    <t>Степлер для скоб 4-14х0,7мм с регул. винтом PL</t>
  </si>
  <si>
    <t>Для крепления различного вида пленок гидро- и пароизоляции к стропилам.</t>
  </si>
  <si>
    <t>Металлический водосток</t>
  </si>
  <si>
    <t>Скобы для степлера 12х0,7мм Stelgrit</t>
  </si>
  <si>
    <t>высота скобы 12мм, толщина 0,7мм, ширина 11,3мм. Тип 53</t>
  </si>
  <si>
    <t xml:space="preserve">Согнуть с высокой точностью крюк длинный полоса на требуемый угол для крепления водосточного желоба </t>
  </si>
  <si>
    <t>Уменьшить радиус трубы без заводской обжимки чтобы вставить в другую трубу в случае подрезки. Усиленные - длина гофры 52мм, сталь до 0,8мм. Прямые - длина гофры 30мм, сталь до 0,5мм</t>
  </si>
  <si>
    <t>Весь ассортимент инструмента смотрите в полном прайсе на инструмент (спрашивайте у менеджеров)</t>
  </si>
  <si>
    <t>Клещи "Гофра" прямые EDMA</t>
  </si>
  <si>
    <t>Группа "А" - инструменты для обязательного размещения на стойке
Группа "В" - инструменты для размещения на стойке на выбор в зависимости от ассортимента кровельных/фасадных материалов
Группа "С" - инструменты под заказ из каталога
Группа "D" - прочий инструмент, оборудование и строительные леса</t>
  </si>
  <si>
    <t>Для герметика в картридже. Нанести герметик из катриджа в местах соединения между собой элементов водосточной системы.</t>
  </si>
  <si>
    <t>Ширина ленты 25мм, магнитный крючок. Разметить места для крепления крюков, снять размеры для подрезки элементов водосточной системы.</t>
  </si>
  <si>
    <t>Группа А</t>
  </si>
  <si>
    <t>Группа В</t>
  </si>
  <si>
    <t>Группа С</t>
  </si>
  <si>
    <t>Группа D</t>
  </si>
  <si>
    <t>5.6. Измерительный инструмент</t>
  </si>
  <si>
    <t>Измерительный инструмент</t>
  </si>
  <si>
    <t>Нивелир лазерный ADA Cube Basic Edition</t>
  </si>
  <si>
    <t>Построители плоскостей (линейные лазерные уровени) для горизонтальной и вертикальной разметки на улице и внутри помещений</t>
  </si>
  <si>
    <t>Уровень электронный ADA ProLevel 40</t>
  </si>
  <si>
    <t>Для быстрого и точного определения угла отклонения поверхности от горизонта или вертикали</t>
  </si>
  <si>
    <t>Угломер электронный ADA AngleRuler 20</t>
  </si>
  <si>
    <t>Прибор для измерения углов с электронной измерительной системой</t>
  </si>
  <si>
    <t>Рулетка 30м фиберглассовая лента с ручкой</t>
  </si>
  <si>
    <t>Рулетка из летны фибергласовой, надежна и удобна в использовании, легко сгибается. Ручка для удобства сматывания.</t>
  </si>
  <si>
    <t>Весь ассортимент измерительного инструмента смотрите в полном прайсе на инструмент (спрашивайте у менеджеров)</t>
  </si>
  <si>
    <t>Группа "А" - инструменты для обязательного размещения на стойке, Группа "С" - инструменты под заказ из каталога</t>
  </si>
  <si>
    <t>5.6. Оборудование</t>
  </si>
  <si>
    <t>Длина</t>
  </si>
  <si>
    <t>Станки для гибки и резки листового металла</t>
  </si>
  <si>
    <t xml:space="preserve">ТАРСО </t>
  </si>
  <si>
    <t>Цена предоставляется по запросу, так как расчитывается, исходя из актуального курса рубля к доллару США или Евро</t>
  </si>
  <si>
    <t>Листогиб ТАРСО Tapco PRO-14</t>
  </si>
  <si>
    <t>3,2 м</t>
  </si>
  <si>
    <t>глубина подачи 380 мм, макс. толщина стали 0,55 мм</t>
  </si>
  <si>
    <t>Е</t>
  </si>
  <si>
    <t>Листогиб ТАРСО МАХ 20</t>
  </si>
  <si>
    <t>от 2,2 до 4,4м</t>
  </si>
  <si>
    <t>глубина подачи 480 мм, макс. толщина стали 0,70 мм</t>
  </si>
  <si>
    <t>Листогиб ТАРСО SuperMax</t>
  </si>
  <si>
    <t>от 2,6 до 4,4м</t>
  </si>
  <si>
    <t>глубина подачи 500 мм, макс. толщина стали 1,00 мм</t>
  </si>
  <si>
    <t>Van Mark</t>
  </si>
  <si>
    <t>Листогиб Van Mark Commercial MM 851</t>
  </si>
  <si>
    <t>2,6 м</t>
  </si>
  <si>
    <t>глубина подачи 520 мм, макс. толщина стали 0,70 мм</t>
  </si>
  <si>
    <t>Листогиб Van Mark Commercial MM 1051</t>
  </si>
  <si>
    <t>Листогиб Van Mark Industrial IM 855</t>
  </si>
  <si>
    <t>глубина подачи 520 мм, макс. толщина стали 1,00 мм</t>
  </si>
  <si>
    <t>Листогиб Van Mark Industrial IM 1055</t>
  </si>
  <si>
    <t>Metal Master</t>
  </si>
  <si>
    <t>Листогиб Metal Master Euromaster LBM 200</t>
  </si>
  <si>
    <t>2,15м</t>
  </si>
  <si>
    <t>без ограничения, макс. толщина стали 1,00 мм</t>
  </si>
  <si>
    <t>Листогиб Metal Master Euromaster LBM 250</t>
  </si>
  <si>
    <t>2,65 м</t>
  </si>
  <si>
    <t>без ограничения, макс. толщина стали 0,80 мм</t>
  </si>
  <si>
    <t>Листогиб Metal Master Euromaster LBM 300</t>
  </si>
  <si>
    <t>3,15 м</t>
  </si>
  <si>
    <t>Stalex</t>
  </si>
  <si>
    <t>Гильотина ручная сабельного типа Stalex HS-500 / HS-800 / HS-1000 / HS-1300</t>
  </si>
  <si>
    <t>0,5/0,8/ 1,0/1,3 м</t>
  </si>
  <si>
    <t>рабочая длина 500/800/1000/1300 мм, макс. толщина стали 1,5 мм</t>
  </si>
  <si>
    <t>Листогиб Stalex LBM 2000</t>
  </si>
  <si>
    <t>2,2 м</t>
  </si>
  <si>
    <t>без ограничения глубины подачи, макс. толщина стали 0,70 мм</t>
  </si>
  <si>
    <t>Листогиб Stalex LBM 2500</t>
  </si>
  <si>
    <t>2,7 м</t>
  </si>
  <si>
    <t>Листогиб Stalex LBM 3000</t>
  </si>
  <si>
    <t>3,0 м</t>
  </si>
  <si>
    <t>Гибочный станок для изготовления штучных кровельных элементов (простых и объемных ромбов, трапеций и гонтов) Саврос</t>
  </si>
  <si>
    <t>Станок  "ЭДЕЛЬВЕЙС"</t>
  </si>
  <si>
    <t>рабочая ширина 840 мм</t>
  </si>
  <si>
    <t>Станок  "ЭДЕЛЬВЕЙС" mini</t>
  </si>
  <si>
    <t>рабочая ширина 250 мм</t>
  </si>
  <si>
    <t>* Цены могут быть пересмотрены и изменены Поставщиком в одностороннем порядке без предварительного уведомления Покупателя</t>
  </si>
  <si>
    <t>Группа "Е" - оборудование и строительные леса</t>
  </si>
  <si>
    <t>Оборудование</t>
  </si>
  <si>
    <t>УПАКОВКА</t>
  </si>
  <si>
    <t>Профиль</t>
  </si>
  <si>
    <t>Упаковка ФК Поддон</t>
  </si>
  <si>
    <t>весь фальц</t>
  </si>
  <si>
    <t>Упаковка ФК Поддон мини</t>
  </si>
  <si>
    <t>Кликфальц-мини</t>
  </si>
  <si>
    <t>Упаковка ФК Усиленная (клеть)</t>
  </si>
  <si>
    <t>Упаковка ФК Усиленная (клеть) мини</t>
  </si>
  <si>
    <t>С8, С10, С20</t>
  </si>
  <si>
    <t>Н60</t>
  </si>
  <si>
    <t>Н75</t>
  </si>
  <si>
    <t>С21</t>
  </si>
  <si>
    <t>Упаковка Поддон</t>
  </si>
  <si>
    <t>отмотка</t>
  </si>
  <si>
    <t>штрипс</t>
  </si>
  <si>
    <t>металлические уголки, плетеная пленка, стрейч пленка</t>
  </si>
  <si>
    <t>бесплатно</t>
  </si>
  <si>
    <t>Упаковка сайдинг - пленка</t>
  </si>
  <si>
    <t>Упаковка штакетника СБ/1200</t>
  </si>
  <si>
    <t>Упаковка штакетника СБ/550</t>
  </si>
  <si>
    <t>Упаковка ДЭ (пленка)</t>
  </si>
  <si>
    <t>пленка</t>
  </si>
  <si>
    <t>Упаковка для доборных элементов</t>
  </si>
  <si>
    <t>Упаковка ДЭ (поддон)</t>
  </si>
  <si>
    <t>Упаковка колпаков, тройников, образцов</t>
  </si>
  <si>
    <t>Упаковка штучного товара</t>
  </si>
  <si>
    <t>Упаковка металлической вентилируемой обрешетки:</t>
  </si>
  <si>
    <t>все</t>
  </si>
  <si>
    <t>Ворсино</t>
  </si>
  <si>
    <t>Обнинск</t>
  </si>
  <si>
    <t>Адреса розничных офисов продаж</t>
  </si>
  <si>
    <t>Повышение цен мягкой черепицы Икопал, ковра Fel*X, ГК-профилей, акция на инструменты</t>
  </si>
  <si>
    <t xml:space="preserve">Прочие доборные элементы для фальцевой кровли представлены во вкладке "1_2_Доборные элементы кровли" (1.2. Кровельные материалы и комплектующие) </t>
  </si>
  <si>
    <t>Виды нарезки Icopal:</t>
  </si>
  <si>
    <t>Регулятор 2299AG поверхностный</t>
  </si>
  <si>
    <t>Регулятор 2299 UCJ  утопленный</t>
  </si>
  <si>
    <r>
      <rPr>
        <b/>
        <sz val="10"/>
        <color indexed="8"/>
        <rFont val="Arial Cyr"/>
        <charset val="204"/>
      </rPr>
      <t xml:space="preserve">CLASSIC VINO 2К </t>
    </r>
    <r>
      <rPr>
        <sz val="10"/>
        <color indexed="8"/>
        <rFont val="Arial Cyr"/>
        <charset val="204"/>
      </rPr>
      <t xml:space="preserve">- для труб Ø 110-160 мм (в комплект входит 2К-уплотнитель гидрозатвора) </t>
    </r>
    <r>
      <rPr>
        <b/>
        <sz val="10"/>
        <color indexed="10"/>
        <rFont val="Arial Cyr"/>
        <charset val="204"/>
      </rPr>
      <t>NEW</t>
    </r>
  </si>
  <si>
    <t>RR33, RR32, RR29, RR23, RR750</t>
  </si>
  <si>
    <t>металлические кровли с высотой профиля до 38 мм</t>
  </si>
  <si>
    <t>металлические кровли с коньком любого профиля</t>
  </si>
  <si>
    <t>обожженный, терракотовый, песчаный, античный, мраморный, бежевый, красный</t>
  </si>
  <si>
    <t>песчаный кирпич, терракотовый кирпич, обожженный кирпич, античный кирпич, мраморный кирпич, бежевый кирпич, красный кирпич</t>
  </si>
  <si>
    <t>Лист Decra Classic, античный красный (1),(5)</t>
  </si>
  <si>
    <t>Лист Decra Classic, тик (1),(5)</t>
  </si>
  <si>
    <t>Лист Decra Classic, терракота (1),(5)</t>
  </si>
  <si>
    <t>Лист Decra Classic, антрацит (1),(5)</t>
  </si>
  <si>
    <t>Лист Decra Classic, хвойный лес (1),(5)</t>
  </si>
  <si>
    <t>Лист Decra Classic, античный серый (1),(5)</t>
  </si>
  <si>
    <t>Лист Decra Classic, осенний каприз (1),(5)</t>
  </si>
  <si>
    <t>Лист Decra Classic, черный бриллиант (под заказ) (2),(5)</t>
  </si>
  <si>
    <t>Начальный лист Roman (4)</t>
  </si>
  <si>
    <t>Лист Decra Roman, терракота (1)</t>
  </si>
  <si>
    <t>Лист Decra Roman, средиземноморская терракотта (1)</t>
  </si>
  <si>
    <t>Лист Decra Stratos, антрацит (1)</t>
  </si>
  <si>
    <t>Лист Decra Stratos, серый валун (1)</t>
  </si>
  <si>
    <t>Лист Decra Stratos, античный серый (1)</t>
  </si>
  <si>
    <t>Лист Decra Stratos, тик (1)</t>
  </si>
  <si>
    <t>Лист Quadro, графитовый, матовый черный, серый, кирпичный (под заказ) (2)</t>
  </si>
  <si>
    <t>Лист Quadro бесшумный, графитовый, матовый черный (под заказ) (2)</t>
  </si>
  <si>
    <t xml:space="preserve">Ендова (нест.доборный элемент 380мм) (3), планка без каменной крошки из металла GrandLine </t>
  </si>
  <si>
    <t>(1)  цены действительны на ограниченное количество товара, имеющегося в наличии на складе поставщика.</t>
  </si>
  <si>
    <t>(3) планка ендовы производится из металла без посыпки, покрытие и цвет металла зависит от цвета композитной черепицы. Цвет металла соответствующий цвету КЧ: терракота, античный красный, среднеземноморская терракота - RAL8004 Velur®, тик - RR32 Velur®, антрацит - RAL8004 Velur®, серый валун - RR32 Quarzit, осенний каприз - RAL8004 Quarzit lite</t>
  </si>
  <si>
    <t>(4) при выборе коллекции Roman обязательно использование начального листа Roman в качестве первых листов вдоль карнизного свеса</t>
  </si>
  <si>
    <t>(5) акция действует с 01.03.2018 по 31.05.2018 г.</t>
  </si>
  <si>
    <t>Повышение цен утеплителя (5.3)</t>
  </si>
  <si>
    <t>Print Дачный АКЦИЯ</t>
  </si>
  <si>
    <t>Print Дачный</t>
  </si>
  <si>
    <r>
      <rPr>
        <b/>
        <sz val="10"/>
        <color indexed="8"/>
        <rFont val="Arial Cyr"/>
        <charset val="204"/>
      </rPr>
      <t>Цены:</t>
    </r>
    <r>
      <rPr>
        <sz val="10"/>
        <color indexed="8"/>
        <rFont val="Arial Cyr"/>
        <charset val="204"/>
      </rPr>
      <t xml:space="preserve"> повышение цен профилированной продукции в покрытии Цинк (в.п., 2.1); акция на композитную черепицу DECRA (1.8), снижение цена на ГК-профиль (3.7). </t>
    </r>
    <r>
      <rPr>
        <b/>
        <sz val="10"/>
        <color indexed="8"/>
        <rFont val="Arial Cyr"/>
        <charset val="204"/>
      </rPr>
      <t>Новинки:</t>
    </r>
    <r>
      <rPr>
        <sz val="10"/>
        <color indexed="8"/>
        <rFont val="Arial Cyr"/>
        <charset val="204"/>
      </rPr>
      <t xml:space="preserve"> покрытие Print Дачный - акция до распродажи складских остатков (в.п., 4.1); панели Я-фасад модель Демидовский кирпич в цвете янтарь и фасадная плитка Хауберг в цвете красный кирпич (3.5). </t>
    </r>
    <r>
      <rPr>
        <b/>
        <sz val="10"/>
        <color indexed="8"/>
        <rFont val="Arial Cyr"/>
        <charset val="204"/>
      </rPr>
      <t>Прочие изменения:</t>
    </r>
    <r>
      <rPr>
        <sz val="10"/>
        <color indexed="8"/>
        <rFont val="Arial Cyr"/>
        <charset val="204"/>
      </rPr>
      <t xml:space="preserve"> изменения ассортимента комплектующих пластикового водостока (3.5); примечания и мелкие корректировки на стр. в.п., 4.1., 1.7</t>
    </r>
  </si>
  <si>
    <t xml:space="preserve"> Шоколадный</t>
  </si>
  <si>
    <t>Шоколадный</t>
  </si>
  <si>
    <t>Хомут трубы металлический на дерево
(саморезы в комплект не входят)</t>
  </si>
  <si>
    <t>Кронштейн желоба металлический Grand Line</t>
  </si>
  <si>
    <t>Красный</t>
  </si>
  <si>
    <t>Форма нарезки</t>
  </si>
  <si>
    <r>
      <t xml:space="preserve">SHINGLAS ФИНСКАЯ </t>
    </r>
    <r>
      <rPr>
        <sz val="10"/>
        <rFont val="Arial Cyr"/>
        <charset val="204"/>
      </rPr>
      <t>(однослойная, окисленный битум)</t>
    </r>
  </si>
  <si>
    <t>Финская. СОНАТА (sonata)</t>
  </si>
  <si>
    <t>Финская. АККОРД  (accord)</t>
  </si>
  <si>
    <t>Конек/Карниз для коллекций Кантри, Классик, Ультра, Джаз, Вестерн, Континент, Атлантика</t>
  </si>
  <si>
    <r>
      <t xml:space="preserve">SHINGLAS РАНЧО </t>
    </r>
    <r>
      <rPr>
        <sz val="10"/>
        <rFont val="Arial Cyr"/>
        <charset val="204"/>
      </rPr>
      <t>(двухслойная, окисленный битум)</t>
    </r>
  </si>
  <si>
    <t>РАНЧО (драконий зуб)</t>
  </si>
  <si>
    <r>
      <t xml:space="preserve">SHINGLAS КАНТРИ </t>
    </r>
    <r>
      <rPr>
        <sz val="10"/>
        <rFont val="Arial Cyr"/>
        <charset val="204"/>
      </rPr>
      <t>(двухслойная, окисленный битум)</t>
    </r>
  </si>
  <si>
    <r>
      <t>SHINGLAS ДЖАЗ</t>
    </r>
    <r>
      <rPr>
        <sz val="10"/>
        <rFont val="Arial Cyr"/>
        <charset val="204"/>
      </rPr>
      <t xml:space="preserve"> (двухслойная, окисленный битум)</t>
    </r>
  </si>
  <si>
    <r>
      <t xml:space="preserve">SHINGLAS ВЕСТЕРН </t>
    </r>
    <r>
      <rPr>
        <sz val="10"/>
        <rFont val="Arial Cyr"/>
        <charset val="204"/>
      </rPr>
      <t>(двухслойная, окисленный битум)</t>
    </r>
  </si>
  <si>
    <t>Каньон, Клондайк, Ниагара, Прерия</t>
  </si>
  <si>
    <r>
      <t xml:space="preserve">SHINGLAS КОНТИНЕНТ </t>
    </r>
    <r>
      <rPr>
        <sz val="10"/>
        <rFont val="Arial Cyr"/>
        <charset val="204"/>
      </rPr>
      <t>(трехслойная, окисленный битум)</t>
    </r>
  </si>
  <si>
    <r>
      <t xml:space="preserve">SHINGLAS АТЛАНТИКА </t>
    </r>
    <r>
      <rPr>
        <sz val="10"/>
        <rFont val="Arial Cyr"/>
        <charset val="204"/>
      </rPr>
      <t>(трехслойная, окисленный битум)</t>
    </r>
  </si>
  <si>
    <t>Мадейра, Тенерифе</t>
  </si>
  <si>
    <r>
      <t xml:space="preserve">Цена руб./шт </t>
    </r>
    <r>
      <rPr>
        <b/>
        <sz val="10"/>
        <color indexed="10"/>
        <rFont val="Arial Cyr"/>
        <charset val="204"/>
      </rPr>
      <t>при отгрузке со следующих заводов:</t>
    </r>
  </si>
  <si>
    <t>Нижний-Новгород</t>
  </si>
  <si>
    <t>Воронеж</t>
  </si>
  <si>
    <t>Санкт-Петербург</t>
  </si>
  <si>
    <t>Краснодар</t>
  </si>
  <si>
    <t>Гвозди ершеные 5 кг</t>
  </si>
  <si>
    <t>коробка</t>
  </si>
  <si>
    <t>Гвозди ершеные 1 кг</t>
  </si>
  <si>
    <t>ведерко</t>
  </si>
  <si>
    <t>Гвозди ершеные удлиненные 5 кг</t>
  </si>
  <si>
    <t>Снегозадержатели под гибкую черепицу поддерживаются на складе в цветах 3005,6005,7024,8017, прочие цвета снегозадержателей под заказ кратно 60 шт.</t>
  </si>
  <si>
    <t>0,3 л</t>
  </si>
  <si>
    <t>Вентиляция, снегозадержание</t>
  </si>
  <si>
    <t>Цена руб./ед.изм при отгрузке со следующих заводов:</t>
  </si>
  <si>
    <t>коричневый, красный, зеленый, серый (1)</t>
  </si>
  <si>
    <t>Инструмент</t>
  </si>
  <si>
    <t>Коллекции битумной черепицы Icopal, конек/карниз и ендовый ковер продаются кратно упаковкам.</t>
  </si>
  <si>
    <t>Ветро-влагозащита для фасада Folder Facade (75 м², плотность 95 г/м²)</t>
  </si>
  <si>
    <r>
      <rPr>
        <b/>
        <sz val="10"/>
        <color indexed="8"/>
        <rFont val="Arial Cyr"/>
        <charset val="204"/>
      </rPr>
      <t>Цены:</t>
    </r>
    <r>
      <rPr>
        <sz val="10"/>
        <color indexed="8"/>
        <rFont val="Arial Cyr"/>
        <charset val="204"/>
      </rPr>
      <t xml:space="preserve"> повышение цен гибкой битумной черепицы ИКОПАЛ (1.5), ветро-влагозащитная пленка для фасада Folder Facade (3.1, 5.1). </t>
    </r>
    <r>
      <rPr>
        <b/>
        <sz val="10"/>
        <color indexed="8"/>
        <rFont val="Arial Cyr"/>
        <charset val="204"/>
      </rPr>
      <t>Новинки:</t>
    </r>
    <r>
      <rPr>
        <sz val="10"/>
        <color indexed="8"/>
        <rFont val="Arial Cyr"/>
        <charset val="204"/>
      </rPr>
      <t xml:space="preserve"> гибкая битумная черепица SHINGLAS АТЛАНТИКА (1.4), Панель фасадная GL "Я-фасад" демидовский кирпич в цвете песок (3.5)</t>
    </r>
  </si>
  <si>
    <t>Sea Wave</t>
  </si>
  <si>
    <t>по запросу</t>
  </si>
  <si>
    <t>кирпично-красный</t>
  </si>
  <si>
    <t>бордовый</t>
  </si>
  <si>
    <r>
      <t xml:space="preserve">графит </t>
    </r>
    <r>
      <rPr>
        <b/>
        <sz val="10"/>
        <color indexed="10"/>
        <rFont val="Arial Cyr"/>
        <charset val="204"/>
      </rPr>
      <t>NEW</t>
    </r>
  </si>
  <si>
    <t>серый антик</t>
  </si>
  <si>
    <t>антик коричневый</t>
  </si>
  <si>
    <t>синий</t>
  </si>
  <si>
    <t>осенний лист</t>
  </si>
  <si>
    <t>Размер рядной церепицы Sea Wave 420х334мм, расход  9,5-10шт/кв.м.</t>
  </si>
  <si>
    <t>Цена руб./шт</t>
  </si>
  <si>
    <t>Обнинск, Нижний-Новгород, Воронеж</t>
  </si>
  <si>
    <t>Кронштейн стеновой -1 шт
Т-кронштейн - 1 шт</t>
  </si>
  <si>
    <t>Болт М8х20 - 4 шт
Гайка М8-6Н - 4 шт
Шайба А.8 - 4 шт</t>
  </si>
  <si>
    <r>
      <t xml:space="preserve">Снегозадержатель Стандарт Т4 d 25 (3м) </t>
    </r>
    <r>
      <rPr>
        <b/>
        <sz val="10"/>
        <color indexed="10"/>
        <rFont val="Arial Cyr"/>
        <charset val="204"/>
      </rPr>
      <t>NEW</t>
    </r>
  </si>
  <si>
    <t>Шайба-уплотнитель - 12шт
Саморез (глухарь) 8х60 - 8шт
Заглушки - 4шт</t>
  </si>
  <si>
    <t>Кронштейн карнизный - 1 шт
Болт М8х20 - 1 шт</t>
  </si>
  <si>
    <r>
      <t xml:space="preserve">Снегозадержатель Стандарт Т4 d 40*20 (3м)* </t>
    </r>
    <r>
      <rPr>
        <b/>
        <sz val="10"/>
        <color indexed="10"/>
        <rFont val="Arial Cyr"/>
        <charset val="204"/>
      </rPr>
      <t>NEW</t>
    </r>
  </si>
  <si>
    <t>Шайба-уплотнитель - 12 шт
Болт 8х60 - 8 шт</t>
  </si>
  <si>
    <r>
      <t xml:space="preserve">Снегозадержатель Стандарт Т4 d 25 (1м) </t>
    </r>
    <r>
      <rPr>
        <b/>
        <sz val="10"/>
        <color indexed="10"/>
        <rFont val="Arial Cyr"/>
        <charset val="204"/>
      </rPr>
      <t>NEW</t>
    </r>
  </si>
  <si>
    <t>Шайба-уплотнитель - 3 шт
Саморез (глухарь) 8х60 - 4шт
Заглушки - 4 шт</t>
  </si>
  <si>
    <r>
      <t xml:space="preserve">Снегозадержатель Стандарт Т4 d 40*20 (1м)* </t>
    </r>
    <r>
      <rPr>
        <b/>
        <sz val="10"/>
        <color indexed="10"/>
        <rFont val="Arial Cyr"/>
        <charset val="204"/>
      </rPr>
      <t>NEW</t>
    </r>
  </si>
  <si>
    <t>Шайба-уплотнитель - 6 шт
Болт 8х60 - 4 шт</t>
  </si>
  <si>
    <t>Кронштейн снегозадержателя универсальный  Zn/RAL - 1 шт
Скоба кронштейна для фальцевой кровли  RAL - 2 шт</t>
  </si>
  <si>
    <t>Болт М8х35 - 2 шт
Шайба А.8 - 4 шт
Гайка М8-7Н - 2 шт</t>
  </si>
  <si>
    <t xml:space="preserve">Цвета снегозадержателей Стандарт Т4 d 25 на складе: 3005,6005,8017. 
</t>
  </si>
  <si>
    <t xml:space="preserve">Цвета снегозадержателей под гибкую черепицу на складе: 3005,6005,8017. Остальные цвета под заказ кратно 60 шт.  
</t>
  </si>
  <si>
    <r>
      <t xml:space="preserve">Стандартные цвета кровельных ограждений под фальц, кров.мостиков, кров.и стеновых лестниц, кронштейнов, поручней Optima: 1014,3003,3005,3009,3011,5002,5005,5009,5021,5024,6002,6005,6020,7004,7005,7016,7024,8004,8017,8019,9002,9005,9006,9016.
</t>
    </r>
    <r>
      <rPr>
        <b/>
        <sz val="10"/>
        <color indexed="10"/>
        <rFont val="Arial Cyr"/>
        <charset val="204"/>
      </rPr>
      <t>ВНИМАНИЕ! При покупке Элементов Безопасности Кровли для металлочерепицы Квинта Плюс, необходимо дополнительно приобрести саморез М8х80 и один дополнительный уплотнитель ЭПДМ  на каждую точку крепления</t>
    </r>
  </si>
  <si>
    <t>Шумоизолирующая лента под фальц (24м)</t>
  </si>
  <si>
    <t>150х5х24000</t>
  </si>
  <si>
    <r>
      <t xml:space="preserve">Панель фасадная GL "ЯФАСАД"
</t>
    </r>
    <r>
      <rPr>
        <b/>
        <sz val="10"/>
        <rFont val="Arial Cyr"/>
        <charset val="204"/>
      </rPr>
      <t>Крымский сланец</t>
    </r>
  </si>
  <si>
    <t>ЯФАСАД</t>
  </si>
  <si>
    <r>
      <rPr>
        <b/>
        <sz val="10"/>
        <color indexed="8"/>
        <rFont val="Arial Cyr"/>
        <charset val="204"/>
      </rPr>
      <t xml:space="preserve">Цены: </t>
    </r>
    <r>
      <rPr>
        <sz val="10"/>
        <color indexed="8"/>
        <rFont val="Arial Cyr"/>
        <charset val="204"/>
      </rPr>
      <t xml:space="preserve">повышение цены металлочерепицы PE Дачный производство (в.п., 1.1), теплиц (6.1); изменение цены OSB при отгрузке со склада Обниинск (Верховье) (1.4, 1.5); акция и изменение цен ЦПЧ Braas (1.11). </t>
    </r>
    <r>
      <rPr>
        <b/>
        <sz val="10"/>
        <color indexed="8"/>
        <rFont val="Arial Cyr"/>
        <charset val="204"/>
      </rPr>
      <t xml:space="preserve">Новинки: </t>
    </r>
    <r>
      <rPr>
        <sz val="10"/>
        <color indexed="8"/>
        <rFont val="Arial Cyr"/>
        <charset val="204"/>
      </rPr>
      <t xml:space="preserve">снегозадержатель Стандарт Т4 (1.16), лента шумоизоляционная под фальц (1.3, 5.2). </t>
    </r>
    <r>
      <rPr>
        <b/>
        <sz val="10"/>
        <color indexed="8"/>
        <rFont val="Arial Cyr"/>
        <charset val="204"/>
      </rPr>
      <t>Иное:</t>
    </r>
    <r>
      <rPr>
        <sz val="10"/>
        <color indexed="8"/>
        <rFont val="Arial Cyr"/>
        <charset val="204"/>
      </rPr>
      <t xml:space="preserve"> снегозадержатели под композитную черепицу перенесены на стр. 1.15</t>
    </r>
  </si>
  <si>
    <r>
      <t xml:space="preserve">Цена руб./ед.изм. </t>
    </r>
    <r>
      <rPr>
        <b/>
        <sz val="10"/>
        <color indexed="10"/>
        <rFont val="Arial Cyr"/>
        <charset val="204"/>
      </rPr>
      <t>при отгрузке со следующих заводов:</t>
    </r>
  </si>
  <si>
    <t>Листы черепицы</t>
  </si>
  <si>
    <r>
      <t xml:space="preserve">Лист композитной металлочерепицы Grand Line </t>
    </r>
    <r>
      <rPr>
        <b/>
        <sz val="10"/>
        <rFont val="Arial Cyr"/>
        <charset val="204"/>
      </rPr>
      <t xml:space="preserve">Classic   </t>
    </r>
    <r>
      <rPr>
        <sz val="10"/>
        <rFont val="Arial Cyr"/>
        <charset val="204"/>
      </rPr>
      <t xml:space="preserve"> 1-волновый</t>
    </r>
  </si>
  <si>
    <r>
      <t>400x1150мм             (350х1100мм, пол.S=0,385м</t>
    </r>
    <r>
      <rPr>
        <vertAlign val="superscript"/>
        <sz val="9"/>
        <rFont val="Arial Cyr"/>
        <charset val="204"/>
      </rPr>
      <t>2</t>
    </r>
    <r>
      <rPr>
        <sz val="9"/>
        <rFont val="Arial Cyr"/>
        <charset val="204"/>
      </rPr>
      <t>)</t>
    </r>
  </si>
  <si>
    <r>
      <t xml:space="preserve">Лист композитной металлочерепицы Grand Line </t>
    </r>
    <r>
      <rPr>
        <b/>
        <sz val="10"/>
        <rFont val="Arial Cyr"/>
        <charset val="204"/>
      </rPr>
      <t>Classic</t>
    </r>
    <r>
      <rPr>
        <sz val="10"/>
        <rFont val="Arial Cyr"/>
        <charset val="204"/>
      </rPr>
      <t xml:space="preserve">     2-волновый</t>
    </r>
  </si>
  <si>
    <t>капучино (1)</t>
  </si>
  <si>
    <t>750x1150мм 
(700х1100мм, пол.S=0,77м2)</t>
  </si>
  <si>
    <t>кленовый латте (1)</t>
  </si>
  <si>
    <t>кленовый латте, шоколад, эспрессо, мятный мокко, американо (2)</t>
  </si>
  <si>
    <t>шоколад, эспрессо, мятный мокко, американо (2)</t>
  </si>
  <si>
    <r>
      <t xml:space="preserve">Лист композитной металлочерепицы Grand Line </t>
    </r>
    <r>
      <rPr>
        <b/>
        <sz val="10"/>
        <rFont val="Arial Cyr"/>
        <charset val="204"/>
      </rPr>
      <t xml:space="preserve">Classic    </t>
    </r>
    <r>
      <rPr>
        <sz val="10"/>
        <rFont val="Arial Cyr"/>
        <charset val="204"/>
      </rPr>
      <t xml:space="preserve"> 3-волновый</t>
    </r>
  </si>
  <si>
    <t>кленовый латте (3)</t>
  </si>
  <si>
    <r>
      <t>1100x1150мм 
(1050х1100мм, пол.S=1,155м</t>
    </r>
    <r>
      <rPr>
        <vertAlign val="superscript"/>
        <sz val="9"/>
        <rFont val="Arial Cyr"/>
        <charset val="204"/>
      </rPr>
      <t>2</t>
    </r>
    <r>
      <rPr>
        <sz val="9"/>
        <rFont val="Arial Cyr"/>
        <charset val="204"/>
      </rPr>
      <t>)</t>
    </r>
  </si>
  <si>
    <r>
      <t xml:space="preserve">Лист композитной черепицы Grand Line </t>
    </r>
    <r>
      <rPr>
        <b/>
        <sz val="10"/>
        <rFont val="Arial Cyr"/>
        <charset val="204"/>
      </rPr>
      <t>Barcelona</t>
    </r>
  </si>
  <si>
    <t>410x1140мм (350x1065мм, пол.S=0,37м2)</t>
  </si>
  <si>
    <t>капучино, шоколад, эспрессо, мятный мокко, американо (2)</t>
  </si>
  <si>
    <r>
      <t xml:space="preserve">Лист композитной металлочерепицы Grand Line </t>
    </r>
    <r>
      <rPr>
        <b/>
        <sz val="10"/>
        <rFont val="Arial Cyr"/>
        <charset val="204"/>
      </rPr>
      <t xml:space="preserve">Classic    </t>
    </r>
    <r>
      <rPr>
        <sz val="10"/>
        <rFont val="Arial Cyr"/>
        <charset val="204"/>
      </rPr>
      <t xml:space="preserve"> 6-волновый</t>
    </r>
  </si>
  <si>
    <r>
      <t>2150x1150мм 
(2100х1100мм, пол.S=2,310м</t>
    </r>
    <r>
      <rPr>
        <vertAlign val="superscript"/>
        <sz val="9"/>
        <rFont val="Arial Cyr"/>
        <charset val="204"/>
      </rPr>
      <t>2</t>
    </r>
    <r>
      <rPr>
        <sz val="9"/>
        <rFont val="Arial Cyr"/>
        <charset val="204"/>
      </rPr>
      <t>)</t>
    </r>
  </si>
  <si>
    <r>
      <t xml:space="preserve">Лист композитной черепицы Grand Line </t>
    </r>
    <r>
      <rPr>
        <b/>
        <sz val="10"/>
        <rFont val="Arial Cyr"/>
        <charset val="204"/>
      </rPr>
      <t>Valencia</t>
    </r>
  </si>
  <si>
    <t>Ендова (нест.доборный элемент 380мм) (4)</t>
  </si>
  <si>
    <t>ендова нижняя</t>
  </si>
  <si>
    <t>Гвозди Decra (6 кг.), красные, черные</t>
  </si>
  <si>
    <t>расход 18-20 шт/м2</t>
  </si>
  <si>
    <t>расход 1,7 шт/п.м.</t>
  </si>
  <si>
    <t>Кровельный вентиль MUOTOKATE - KTV Vilpe. Для КМЧ GL Classic</t>
  </si>
  <si>
    <t>прижимная планка для оформления примыкания к вертикальным эл. кровли</t>
  </si>
  <si>
    <t>то рекомендуем ендову в металле</t>
  </si>
  <si>
    <t>(1) поддерживается в наличии на складе в Верховье (Калужская обл.)</t>
  </si>
  <si>
    <t>(2) под заказ. Срок поставки на склад в Верховье (Калужская обл.) от 1,5 месяцев, точную информацию можно получить у менеджера по продажам.</t>
  </si>
  <si>
    <t>(3) спеццена действует до окончания складских остатков на складе в Верховье (Калужская обл.)</t>
  </si>
  <si>
    <t>(4) планка ендовы производится из металла без посыпки, покрытие и цвет металла зависит от цвета композитной черепицы</t>
  </si>
  <si>
    <t>Черепица Classic, спец.цена</t>
  </si>
  <si>
    <t>Черепица Classic, прочее</t>
  </si>
  <si>
    <t>Черепица Barselona спец.цена</t>
  </si>
  <si>
    <t>Черепица Barselona прочее</t>
  </si>
  <si>
    <t>Черепица Valencia, Madrid</t>
  </si>
  <si>
    <t>Лист Decra Stratos, черный бриллиант (под заказ) (2)</t>
  </si>
  <si>
    <t>(2) Цвета с пометкой "под заказ" поставляются поставляются с завода-производителя в Бельгии под заказ конкретного покупателя. Срок поставки узнавайте у менеджеров.</t>
  </si>
  <si>
    <t>2-волновый</t>
  </si>
  <si>
    <t>750x1150мм 
(700х1100мм, пол. S=0,77 м2)</t>
  </si>
  <si>
    <r>
      <t>2150x1150мм 
(2100х1100мм, пол. S=2,310 м</t>
    </r>
    <r>
      <rPr>
        <vertAlign val="superscript"/>
        <sz val="10"/>
        <rFont val="Arial Cyr"/>
        <charset val="204"/>
      </rPr>
      <t>2</t>
    </r>
    <r>
      <rPr>
        <sz val="10"/>
        <rFont val="Arial Cyr"/>
        <charset val="204"/>
      </rPr>
      <t>)</t>
    </r>
  </si>
  <si>
    <t>капучино
(цену на другие цвета смотрите на стр 1.7)</t>
  </si>
  <si>
    <t xml:space="preserve">Труба d 25, RAL - 2 шт                                                           
Кронштейн RAL - 4 шт 
</t>
  </si>
  <si>
    <t xml:space="preserve">Труба овальная с обжатым краем d 40*20, RAL - 2 шт                                                           
Кронштейн  RAL - 4 шт </t>
  </si>
  <si>
    <t xml:space="preserve">Труба круглая d 25, RAL - 2 шт                                                           
Кронштейн  RAL - 2 шт </t>
  </si>
  <si>
    <t xml:space="preserve">Труба овальная с обжатым краем d 40*20, RAL - 2 шт                                                           
Кронштейн RAL - 2 шт </t>
  </si>
  <si>
    <r>
      <rPr>
        <b/>
        <sz val="10"/>
        <color indexed="8"/>
        <rFont val="Arial Cyr"/>
        <charset val="204"/>
      </rPr>
      <t>Цены:</t>
    </r>
    <r>
      <rPr>
        <sz val="10"/>
        <color indexed="8"/>
        <rFont val="Arial Cyr"/>
        <charset val="204"/>
      </rPr>
      <t xml:space="preserve"> изменение цен композитной черепицы Grand Line (1.7). </t>
    </r>
    <r>
      <rPr>
        <b/>
        <sz val="10"/>
        <color indexed="8"/>
        <rFont val="Arial Cyr"/>
        <charset val="204"/>
      </rPr>
      <t>Новинка:</t>
    </r>
    <r>
      <rPr>
        <sz val="10"/>
        <color indexed="8"/>
        <rFont val="Arial Cyr"/>
        <charset val="204"/>
      </rPr>
      <t xml:space="preserve"> утеплитель со склада в г. Яровлавль (5.3). </t>
    </r>
    <r>
      <rPr>
        <b/>
        <sz val="10"/>
        <color indexed="8"/>
        <rFont val="Arial Cyr"/>
        <charset val="204"/>
      </rPr>
      <t>Иное:</t>
    </r>
    <r>
      <rPr>
        <sz val="10"/>
        <color indexed="8"/>
        <rFont val="Arial Cyr"/>
        <charset val="204"/>
      </rPr>
      <t xml:space="preserve"> мелкие корректировки страниц 1.1, 1.16, 1.8.</t>
    </r>
  </si>
  <si>
    <r>
      <t>Print желтое дерево</t>
    </r>
    <r>
      <rPr>
        <b/>
        <sz val="10"/>
        <rFont val="Arial Cyr"/>
        <charset val="204"/>
      </rPr>
      <t>_НН</t>
    </r>
  </si>
  <si>
    <t>0,65 (1)</t>
  </si>
  <si>
    <t>0,45 (7)</t>
  </si>
  <si>
    <t>Софит металлический (2)</t>
  </si>
  <si>
    <t>Двойной стоячий фальц/Profi (2)</t>
  </si>
  <si>
    <t>Кликфальц/Profi (2)</t>
  </si>
  <si>
    <t>Плоский лист
Штрипс (3)
Отмотка (3)</t>
  </si>
  <si>
    <t>0,5/7,9
0,5/400
8/500</t>
  </si>
  <si>
    <t>Блок-хаус New</t>
  </si>
  <si>
    <t>(1) металл Полиэстер толщиной 0,65 мм на складе не поддерживается.</t>
  </si>
  <si>
    <t>Стоимость двойного стоячего фальца рассчитывается исходя из ширины 625 мм (ширины заготовки). Полная ширина готового изделия 563 мм. Gofr/Profi - дополнительные ребра жесткости</t>
  </si>
  <si>
    <t>Фальц двойной стоячий, кликфальц и кликфальц mini производства СПб в регионы (Обн., Врн., НН) не отгружаются.</t>
  </si>
  <si>
    <t>Максимальная длина отмотки на заводе в НН 450 м</t>
  </si>
  <si>
    <t>0,65 (3)</t>
  </si>
  <si>
    <t>0,5/7,99 - 0,5/400 - 8/500</t>
  </si>
  <si>
    <t>(3) металл Полиэстер толщиной 0,65 мм на складе не поддерживается.</t>
  </si>
  <si>
    <r>
      <t xml:space="preserve">Планка торцевая сегментная 30мм Левая / Правая (5) </t>
    </r>
    <r>
      <rPr>
        <b/>
        <sz val="10"/>
        <color indexed="10"/>
        <rFont val="Arial Cyr"/>
        <charset val="204"/>
      </rPr>
      <t>NEW</t>
    </r>
  </si>
  <si>
    <t>(1) дымник "Optima" в покрытии PE 0,35 изготавливается только в цветах RAL 3005, 6005 и 8017</t>
  </si>
  <si>
    <t>(2) заглушки до исчерпания складских остатков</t>
  </si>
  <si>
    <t>(5) планку торцевую сегментную 30мм рекомендуем для металлочерепицы с высотой ступеньки 30 мм. Поддерживается на складе в покрытии Velur в трех цветах: RAL 7024, RAL 8017 и RR32</t>
  </si>
  <si>
    <t>рекомендуемые цвета саморезов RAL</t>
  </si>
  <si>
    <t>Плоский лист - Штрипс - Отмотка (5)</t>
  </si>
  <si>
    <t>Вентпрогон опорный для фальца (RAL 7024 и 8017) (4)</t>
  </si>
  <si>
    <t>(1) доборные элементы для продукции в Полиэстере группы Optima изготавливаются в покрытии Satin.</t>
  </si>
  <si>
    <t>(4) вентпрогон опорный для фальца поддерживается на складе в цветах 7024 и 8017. Изготовление в других цветах под заказ при объеме от 500 штук</t>
  </si>
  <si>
    <t>0,65 (2)</t>
  </si>
  <si>
    <t>Кликфальц/Profi (1)</t>
  </si>
  <si>
    <t>(2) металл Полиэстер толщиной 0,65 мм на складе не поддерживается.</t>
  </si>
  <si>
    <t>(5) доборные элементы для продукции в Полиэстере группы Optima прокатываются в Satin</t>
  </si>
  <si>
    <t>0,39/0,36</t>
  </si>
  <si>
    <t>390/360</t>
  </si>
  <si>
    <t>(1) снегозадержатели под гибкую черепицу поддерживаются на складе в цветах 3005,6005,7024,8017, прочие цвета снегозадержателей под заказ кратно 60 шт.</t>
  </si>
  <si>
    <r>
      <rPr>
        <b/>
        <sz val="10"/>
        <color indexed="8"/>
        <rFont val="Arial Cyr"/>
        <charset val="204"/>
      </rPr>
      <t>Цены:</t>
    </r>
    <r>
      <rPr>
        <sz val="10"/>
        <color indexed="8"/>
        <rFont val="Arial Cyr"/>
        <charset val="204"/>
      </rPr>
      <t xml:space="preserve"> изменение цен профилировки (в.п., 1.1, 1.2, 1.3, 3.1, 4.1); техническая корректировки цены планки угла внешнего сложного (ЭкоБрус GL) (3.2). </t>
    </r>
    <r>
      <rPr>
        <b/>
        <sz val="10"/>
        <color indexed="8"/>
        <rFont val="Arial Cyr"/>
        <charset val="204"/>
      </rPr>
      <t>Иное:</t>
    </r>
    <r>
      <rPr>
        <sz val="10"/>
        <color indexed="8"/>
        <rFont val="Arial Cyr"/>
        <charset val="204"/>
      </rPr>
      <t xml:space="preserve"> продлена акция на композитную церепицу Luxard (1.9.); металлический сайдинг Блок-хаус (старый профиль) можно приобрести в Нижнем-Новогороде (уточняйте у менеджера); изменение цены OSB при отгрузке со склада Нижний-Новгород (1.4, 1.5)</t>
    </r>
  </si>
  <si>
    <r>
      <rPr>
        <b/>
        <sz val="10"/>
        <color indexed="8"/>
        <rFont val="Arial Cyr"/>
        <charset val="204"/>
      </rPr>
      <t xml:space="preserve">Цены: </t>
    </r>
    <r>
      <rPr>
        <sz val="10"/>
        <color indexed="8"/>
        <rFont val="Arial Cyr"/>
        <charset val="204"/>
      </rPr>
      <t>техническая корректировка цены композитной черепицы Grand Line (1.7), изменение цены герметика (5.2), акция на утеплитель (5.3), изменения акций на инструмент (5.5), техническая корректировка цены утеплителя ECOROLL TS40</t>
    </r>
  </si>
  <si>
    <t>Применение в теплоизоляции:</t>
  </si>
  <si>
    <t>Кол-во в упаковке</t>
  </si>
  <si>
    <t>плит, шт</t>
  </si>
  <si>
    <t>Экструзионный пенополистирол</t>
  </si>
  <si>
    <t>фундамент, отмостка, полы, стены, цоколь, фасад, кровля</t>
  </si>
  <si>
    <t>20 х 600 х 1200</t>
  </si>
  <si>
    <t>штукатурный фасад и цоколь</t>
  </si>
  <si>
    <t>30 х 580 1180</t>
  </si>
  <si>
    <t>40 х 580 1180</t>
  </si>
  <si>
    <t>50 х 580 1180</t>
  </si>
  <si>
    <t>50 х 580 х 1180</t>
  </si>
  <si>
    <t>60 х 580 1180</t>
  </si>
  <si>
    <t>100 х 580 х 1180</t>
  </si>
  <si>
    <t>80 х 580 1180</t>
  </si>
  <si>
    <t>мелкозаглубленный фундамент по технологии УШП</t>
  </si>
  <si>
    <t>100 х 580 х 2360</t>
  </si>
  <si>
    <t>фундамент, пристенный дренаж, плоские кровли для улучшения стока воды и микровентиляции</t>
  </si>
  <si>
    <t>Клей-пена ТЕХНОНИКОЛЬ PROFESSIONAL для пенополистирола</t>
  </si>
  <si>
    <t xml:space="preserve">Фиксация EPS, XPS, PIR, герметизация стыков. Расход балона на 10-12 кв.м. </t>
  </si>
  <si>
    <t>Угловой крепеж XPS ТЕХНОНИКОЛЬ</t>
  </si>
  <si>
    <t>упаковка 150шт</t>
  </si>
  <si>
    <t>Для соединения плит перпендикулярно друг другу при помощи винтов R16. Шаг установки 300мм.</t>
  </si>
  <si>
    <t>Шляпка 40х40мм, длина шипа 40мм, упаковка 200шт.</t>
  </si>
  <si>
    <t>Временная фиксация плит EPS, XPS, PIR толщиной до 60 мм. и профилированных мембран. Шляпка с самоклеющимся битумным слоем. Расход 4 шт/кв.м.</t>
  </si>
  <si>
    <t>упаковка 300шт</t>
  </si>
  <si>
    <t>Для фиксации Углового крепежа XPS ТЕХНОНИКОЛЬ в плиту.</t>
  </si>
  <si>
    <t>Шляпка 65х65мм, длина шипа 78 мм, упаковка 100шт</t>
  </si>
  <si>
    <t>Временная фиксация плит EPS, XPS, PIR толщиной свыше 50 мм. Шляпка с самоклеющимся битумным слоем. Расход 4 шт/кв.м.</t>
  </si>
  <si>
    <t>Мастика приклеивающая ТЕХНОНИКОЛЬ № 27, ведро 22 кг</t>
  </si>
  <si>
    <t>для приклеивания плит из экструзионного пенополистирола к битумным, битумно-полимерным изоляционным материалам, а также к бетонным поверхностям в системах изоляции фундаментов. Расход: при нанесении полосами 0,6-1 кг/м², при нанесении точками 0,5-0,8 кг/м²</t>
  </si>
  <si>
    <t>Размер рулона, м</t>
  </si>
  <si>
    <t>гидроизоляция фундамента, подготовка основания под плитный фундамент</t>
  </si>
  <si>
    <t>Односторонняя самоклеящаяся лента для скрепления мембран PLANTER между собой и приклеивания к конструкциям</t>
  </si>
  <si>
    <t>рул.</t>
  </si>
  <si>
    <t>Двусторонняя самоклеящаяся лента для скрепления мембран PLANTER между собой и приклеивания к конструкциям</t>
  </si>
  <si>
    <t>гидроизоляция фундамента, подготовка основания под плитный фундамент, отмостка, эксплуатируемая кровля, санация влажных стен</t>
  </si>
  <si>
    <t>Опора под арматуру для формирования защитного слоя бетона для арматуры толщиной 35 мм над профилированной мембраной в плитных фундаментах и полах по грунту.</t>
  </si>
  <si>
    <t>Для механического крепления профилированных мембран  на вертикальной стене. Расход: 5 шт/м2</t>
  </si>
  <si>
    <t>Для временной фиксации мембран к битумной или битумно-полимерной гидроизоляции. Расход: 5 шт/м2</t>
  </si>
  <si>
    <t>Мембрана с геотекстилем. Гидроизоляция фундамента, кровель, туннелей, дренаж в дорожках, площадках и отмостках.</t>
  </si>
  <si>
    <t>Декоративная планка, монтируется по верхнему краю мембраны на цоколе. Кол-во планок = периметр цоколя/2</t>
  </si>
  <si>
    <t>Труба ПВХ  Grand Line стандарт 3м</t>
  </si>
  <si>
    <t>Баллон подкрасочный MoTip 400 мл (RAL 3005, 6005, 8017, RR 23, 32)</t>
  </si>
  <si>
    <t>NICOBAND самоклеящаяся герметизирующая лента (3мх10см) (1)</t>
  </si>
  <si>
    <t>NICOBAND самоклеящаяся герметизирующая лента (10мх15см) (1)</t>
  </si>
  <si>
    <t>Заклепка вытяжная 4,0х10 (1000 шт.) алюминий / сталь Ral (1)</t>
  </si>
  <si>
    <t>(1) на складе не поддерживается, на заказ</t>
  </si>
  <si>
    <t>(2) до исчерпания складских запасов</t>
  </si>
  <si>
    <t>Саморезы с прессшайбой сверло 4,2х19 Цинк (1000 шт.)</t>
  </si>
  <si>
    <r>
      <rPr>
        <b/>
        <sz val="10"/>
        <color indexed="8"/>
        <rFont val="Arial Cyr"/>
        <charset val="204"/>
      </rPr>
      <t xml:space="preserve">Цены: </t>
    </r>
    <r>
      <rPr>
        <sz val="10"/>
        <color indexed="8"/>
        <rFont val="Arial Cyr"/>
        <charset val="204"/>
      </rPr>
      <t xml:space="preserve">изменение цены саморезов (5.2, 3.1, 1.3, 3.8). </t>
    </r>
    <r>
      <rPr>
        <b/>
        <sz val="10"/>
        <color indexed="8"/>
        <rFont val="Arial Cyr"/>
        <charset val="204"/>
      </rPr>
      <t>Новинка:</t>
    </r>
    <r>
      <rPr>
        <sz val="10"/>
        <color indexed="8"/>
        <rFont val="Arial Cyr"/>
        <charset val="204"/>
      </rPr>
      <t xml:space="preserve"> шумоизоляция КНАУФ Akusti  </t>
    </r>
    <r>
      <rPr>
        <b/>
        <sz val="10"/>
        <color indexed="8"/>
        <rFont val="Arial Cyr"/>
        <charset val="204"/>
      </rPr>
      <t>Иное</t>
    </r>
    <r>
      <rPr>
        <sz val="10"/>
        <color indexed="8"/>
        <rFont val="Arial Cyr"/>
        <charset val="204"/>
      </rPr>
      <t>: изменения в ассортименте рулонных сеток (4.5), указана цена на МЧ Modern в покрытии Drap (в.п.,1.1)</t>
    </r>
  </si>
  <si>
    <t>1.12. Водосточные системы Grand Line®</t>
  </si>
  <si>
    <r>
      <t xml:space="preserve">DECRA 2К </t>
    </r>
    <r>
      <rPr>
        <sz val="10"/>
        <color indexed="8"/>
        <rFont val="Arial Cyr"/>
        <charset val="204"/>
      </rPr>
      <t>(в комплект входит 2К-уплотнитель гидрозатвора)</t>
    </r>
  </si>
  <si>
    <t>при монтаже и на готовую кровлю (при доступе со стороны чердака)</t>
  </si>
  <si>
    <r>
      <t>PIIPPU  проходной элемент + оконтовка NO.1</t>
    </r>
    <r>
      <rPr>
        <sz val="10"/>
        <color indexed="8"/>
        <rFont val="Arial Cyr"/>
        <charset val="204"/>
      </rPr>
      <t>- для дымовых труб Ø 200-265 мм (в комплект входят пластиковый проходной элемент, резиновый уплотнитель, металлический хомут из нержавеющей стали, окантовка и монтажная инструкция)</t>
    </r>
  </si>
  <si>
    <r>
      <t xml:space="preserve">PIIPPU  проходной элемент NO.2 круглый </t>
    </r>
    <r>
      <rPr>
        <sz val="10"/>
        <color indexed="8"/>
        <rFont val="Arial Cyr"/>
        <charset val="204"/>
      </rPr>
      <t>- для дымовых труб Ø 280-380 мм (в комплект входят пластиковый проходной элемент, резиновый уплотнитель, металлический хомут из нержавеющей стали, оконтовка и монтажная инструкция)</t>
    </r>
  </si>
  <si>
    <t xml:space="preserve">                                         (используется в качестве подсистемы для винилового сайдинга)</t>
  </si>
  <si>
    <t>Кол-во в упаковке, п.м.</t>
  </si>
  <si>
    <t>Профиль ПП 60*27</t>
  </si>
  <si>
    <t>Профиль ПН 75*40</t>
  </si>
  <si>
    <t>Профиль ПНП 28*27</t>
  </si>
  <si>
    <t>Профиль ПС 100*50</t>
  </si>
  <si>
    <t>Профиль ПС 50*50</t>
  </si>
  <si>
    <t>Профиль ПН 100*40</t>
  </si>
  <si>
    <t>Профиль ПН 50*40</t>
  </si>
  <si>
    <t>Профиль ПС 75*50</t>
  </si>
  <si>
    <t>Профиль ПНПЭ 20*17</t>
  </si>
  <si>
    <t>Подвес прямой (164 мм) укороченный</t>
  </si>
  <si>
    <t>Соединитель профилей П (60*27) /краб</t>
  </si>
  <si>
    <t>Соединитель профилей краб (148*125 мм) укороч</t>
  </si>
  <si>
    <t>Соединитель профилей торцевой</t>
  </si>
  <si>
    <t>Соединитель профилей двухуровневый</t>
  </si>
  <si>
    <t>Удлинитель профилей 60х27</t>
  </si>
  <si>
    <t>Подвес пружинный (бочка)</t>
  </si>
  <si>
    <t>Анкерный подвес</t>
  </si>
  <si>
    <t>Соединитель профилей двухуровневый 45*18</t>
  </si>
  <si>
    <t>Штукатурные маяки и перфорированные углы</t>
  </si>
  <si>
    <t>Профиль угловой ПУ 20*20</t>
  </si>
  <si>
    <t>Профиль угловой ПУ 20*20 Al</t>
  </si>
  <si>
    <t>Профиль угловой ПУ 25*25</t>
  </si>
  <si>
    <t>Профиль угловой ПУ 25*25 Al</t>
  </si>
  <si>
    <t>Профиль угловой ПУ 31*31</t>
  </si>
  <si>
    <t>Профиль маячковый ПМ 23*6</t>
  </si>
  <si>
    <t>Профиль маячковый ПМ 24*10</t>
  </si>
  <si>
    <t>Тяга, диаметр 4 мм</t>
  </si>
  <si>
    <t>Тяга 25 см</t>
  </si>
  <si>
    <t>Тяга 30 см</t>
  </si>
  <si>
    <t>Тяга 35 см</t>
  </si>
  <si>
    <t>Тяга 50 см</t>
  </si>
  <si>
    <t>Тяга 75 см</t>
  </si>
  <si>
    <t>Тяга 100 см</t>
  </si>
  <si>
    <t>Тяга 150 см</t>
  </si>
  <si>
    <t>5.1. Гидроизоляционные и парогидроизоляционные материалы</t>
  </si>
  <si>
    <t>Описание и назначение</t>
  </si>
  <si>
    <t>Плотность, г/м.кв.</t>
  </si>
  <si>
    <t>за кв.м</t>
  </si>
  <si>
    <t>за рулон</t>
  </si>
  <si>
    <t>Гидроизоляционные пленки</t>
  </si>
  <si>
    <r>
      <rPr>
        <u/>
        <sz val="10"/>
        <rFont val="Arial Cyr"/>
        <charset val="204"/>
      </rPr>
      <t xml:space="preserve">Супер-диффузионная мембрана </t>
    </r>
    <r>
      <rPr>
        <sz val="10"/>
        <rFont val="Arial Cyr"/>
        <charset val="204"/>
      </rPr>
      <t>(диффузионная мембрана) - пленки с хорошими гидроизоляционными свойствами и высокой паропропускной способностью. Высокая степень пропускания пара позволяет монтировать эти пленки вплотную к утеплителю, экономя на дереве и стоимости работ для второго вентилируемого зазора. Используются для утепленных кровель и фасадов.</t>
    </r>
  </si>
  <si>
    <t>ISOBOX 95</t>
  </si>
  <si>
    <t xml:space="preserve">Диффузионная мембрана </t>
  </si>
  <si>
    <t>Россия</t>
  </si>
  <si>
    <t xml:space="preserve">95 г/м² </t>
  </si>
  <si>
    <t xml:space="preserve">1,5х50м=75 м² </t>
  </si>
  <si>
    <t>Изоспан-АМ</t>
  </si>
  <si>
    <t xml:space="preserve">Гидроизоляционная мембрана </t>
  </si>
  <si>
    <t xml:space="preserve">90 г/м² </t>
  </si>
  <si>
    <t xml:space="preserve">1,6х43,75м=70 м² </t>
  </si>
  <si>
    <t>ISOBOX 110</t>
  </si>
  <si>
    <t xml:space="preserve">110 г/м² </t>
  </si>
  <si>
    <t>ISOBOX 130</t>
  </si>
  <si>
    <t xml:space="preserve">130 г/м² </t>
  </si>
  <si>
    <t>Folder Comfort</t>
  </si>
  <si>
    <t xml:space="preserve">Мембрана </t>
  </si>
  <si>
    <t>Польша</t>
  </si>
  <si>
    <t>Изоспан-АQ proff</t>
  </si>
  <si>
    <t xml:space="preserve">Супердиффузионная мембрана </t>
  </si>
  <si>
    <t xml:space="preserve">180 г/м² </t>
  </si>
  <si>
    <t>Folder Light*</t>
  </si>
  <si>
    <t xml:space="preserve">100 г/м² </t>
  </si>
  <si>
    <t>Folder Classic</t>
  </si>
  <si>
    <t>Tyvek® Soft</t>
  </si>
  <si>
    <t>Люксембург</t>
  </si>
  <si>
    <t xml:space="preserve">58 г/м² </t>
  </si>
  <si>
    <t>Delta-Vent N</t>
  </si>
  <si>
    <t>Диффузионная пленка</t>
  </si>
  <si>
    <t>Германия</t>
  </si>
  <si>
    <t>Tyvek® Solid</t>
  </si>
  <si>
    <t xml:space="preserve">82 г/м² </t>
  </si>
  <si>
    <t>Folder Strong*</t>
  </si>
  <si>
    <t xml:space="preserve">135 г/м² </t>
  </si>
  <si>
    <t>Optima D</t>
  </si>
  <si>
    <t>Гидро-пароизоляционная пленка</t>
  </si>
  <si>
    <t xml:space="preserve">85 г/м² </t>
  </si>
  <si>
    <t>1,5х23,33=35 м²/
1,5х46,66=70 м²</t>
  </si>
  <si>
    <t>Изоспан-D</t>
  </si>
  <si>
    <t>Grand Line Silver D98</t>
  </si>
  <si>
    <t>Гидроизоляционная пленка</t>
  </si>
  <si>
    <t xml:space="preserve">98 г/м² </t>
  </si>
  <si>
    <t>Folder D98</t>
  </si>
  <si>
    <t>Изоспан DM</t>
  </si>
  <si>
    <t xml:space="preserve">Гидро-пароизоляционная пленка с антиконденсат.поверхностью </t>
  </si>
  <si>
    <t xml:space="preserve">105 г/м² </t>
  </si>
  <si>
    <t>Folder Standart D 110*</t>
  </si>
  <si>
    <t>Folder Anticondensat*</t>
  </si>
  <si>
    <t>Fel*Х</t>
  </si>
  <si>
    <t>Ковер подкладочный</t>
  </si>
  <si>
    <t>Бельгия</t>
  </si>
  <si>
    <t xml:space="preserve">500 г/м² </t>
  </si>
  <si>
    <t xml:space="preserve">1х40м=40 м² </t>
  </si>
  <si>
    <r>
      <rPr>
        <u/>
        <sz val="10"/>
        <rFont val="Arial Cyr"/>
        <charset val="204"/>
      </rPr>
      <t>Ветро-влагозащита</t>
    </r>
    <r>
      <rPr>
        <sz val="10"/>
        <rFont val="Arial Cyr"/>
        <charset val="204"/>
      </rPr>
      <t xml:space="preserve"> -  пленки с низкой водоупорностью, но с отличной паропропускной способностью и защитой от ветра. Применяются для защиты утеплителя в вентилируемом фасаде.  Не рекомендуются к использованию в кровельной конструкции. </t>
    </r>
  </si>
  <si>
    <t>Optima A</t>
  </si>
  <si>
    <t>Паропроницаемая ветро-влагозащитная пленка</t>
  </si>
  <si>
    <t>Изоспан А</t>
  </si>
  <si>
    <t>Ветро-влагоизоляционная пленка</t>
  </si>
  <si>
    <t>Folder Facade</t>
  </si>
  <si>
    <t>Ветро-влагозащитная пленка для фасада</t>
  </si>
  <si>
    <t>Tyvek HouseWrap</t>
  </si>
  <si>
    <t xml:space="preserve">Супердиффузионная мембрана для фасадов </t>
  </si>
  <si>
    <t xml:space="preserve">60 г/м² </t>
  </si>
  <si>
    <r>
      <rPr>
        <u/>
        <sz val="10"/>
        <rFont val="Arial Cyr"/>
        <charset val="204"/>
      </rPr>
      <t>Стандартные пароизоляционные пленки</t>
    </r>
    <r>
      <rPr>
        <sz val="10"/>
        <rFont val="Arial Cyr"/>
        <charset val="204"/>
      </rPr>
      <t xml:space="preserve"> -  создают паронепроницаемый барьер на внутренней поверхности теплоизоляции скатной кровли. </t>
    </r>
  </si>
  <si>
    <t>Optima B</t>
  </si>
  <si>
    <t>Пароизоляционная пленка</t>
  </si>
  <si>
    <t xml:space="preserve">75 г/м² </t>
  </si>
  <si>
    <t>Optima C</t>
  </si>
  <si>
    <t>Универсальная гидро-пароизоляционная пленка</t>
  </si>
  <si>
    <t>Изоспан В</t>
  </si>
  <si>
    <t xml:space="preserve">72 г/м² </t>
  </si>
  <si>
    <t>Grand Line Silver Н98</t>
  </si>
  <si>
    <t>Delta-DAWI GP</t>
  </si>
  <si>
    <t xml:space="preserve">Универсальная пароизоляционная пленка </t>
  </si>
  <si>
    <t>2х50м=100м2</t>
  </si>
  <si>
    <r>
      <rPr>
        <u/>
        <sz val="10"/>
        <rFont val="Arial Cyr"/>
        <charset val="204"/>
      </rPr>
      <t>Пароизоляция с ограниченной паропроницаемостью</t>
    </r>
    <r>
      <rPr>
        <sz val="10"/>
        <rFont val="Arial Cyr"/>
        <charset val="204"/>
      </rPr>
      <t xml:space="preserve"> - эти пленки в отличие от стандартной пароизоляции пропускают пар, но в ограниченных количествах. Это позволяет равномерно удалить избыточную влагу из помещений без риска образования конденсата в кровельной конструкции. Рекомендованы для применения в домах с непостоянным проживанием (дачи, коттеджи). Такая пароизоляция используется только в комбинации с супер-диффузионными мембранами.</t>
    </r>
  </si>
  <si>
    <t>Folder Regulator</t>
  </si>
  <si>
    <t>AirGuard® SD5</t>
  </si>
  <si>
    <t xml:space="preserve">Пароизоляционная мембрана </t>
  </si>
  <si>
    <t xml:space="preserve">108 г/м² </t>
  </si>
  <si>
    <r>
      <rPr>
        <u/>
        <sz val="10"/>
        <rFont val="Arial Cyr"/>
        <charset val="204"/>
      </rPr>
      <t>Пароизоляция с отражающим (рефлексным) слоем</t>
    </r>
    <r>
      <rPr>
        <sz val="10"/>
        <rFont val="Arial Cyr"/>
        <charset val="204"/>
      </rPr>
      <t xml:space="preserve"> - отражающий рефлексный слой способен отражать часть теплового излучения обратно во внутреннее помещение (до 10% тепла). Так же такие пленки обладают повышенной паронепроницаемостью, относительно стандартных, что делает их применение оптимальным в кровлях над помещениями с повышенным парообразованием (санузлы, бани, бассейны и т.п.)</t>
    </r>
  </si>
  <si>
    <t>Изоспан FS</t>
  </si>
  <si>
    <t>Отражающая паро-гидроизоляционная пленка</t>
  </si>
  <si>
    <t xml:space="preserve">92 г/м² </t>
  </si>
  <si>
    <t xml:space="preserve">1,2х58,33м=70 м² </t>
  </si>
  <si>
    <t>Folder Alum H90</t>
  </si>
  <si>
    <t>Delta-REFLEX</t>
  </si>
  <si>
    <t xml:space="preserve">Пароизоляционная пленка с алюминиевым рефлексным слоем </t>
  </si>
  <si>
    <t>Цена за пог.м, руб.</t>
  </si>
  <si>
    <t>Цена за рулон, руб.</t>
  </si>
  <si>
    <r>
      <rPr>
        <u/>
        <sz val="10"/>
        <rFont val="Arial Cyr"/>
        <charset val="204"/>
      </rPr>
      <t>Соединительные ленты, клеи</t>
    </r>
    <r>
      <rPr>
        <sz val="10"/>
        <rFont val="Arial Cyr"/>
        <charset val="204"/>
      </rPr>
      <t xml:space="preserve"> предназначены для гермитичного монтажа пароизоляции, гидроизоляции и ремонта пленок. При монтаже пароизоляции использование лент и\или клея - обязательно. Необходимо проклеивать как места перехлеста полотен, так и напуски на стены, трубы, различные конструкции кровли. </t>
    </r>
  </si>
  <si>
    <t>Изоспан лента под контроб.</t>
  </si>
  <si>
    <t>Уплотнительная лента под контробрешетку</t>
  </si>
  <si>
    <t>ролик</t>
  </si>
  <si>
    <t xml:space="preserve">Изоспан FL Termo </t>
  </si>
  <si>
    <t>Folder Butil PRO</t>
  </si>
  <si>
    <t>Folder Bond Tape</t>
  </si>
  <si>
    <t xml:space="preserve">Односторонняя соединительная лента </t>
  </si>
  <si>
    <t>Delta-Tixx</t>
  </si>
  <si>
    <t xml:space="preserve">Клей для присоединения пароизоляции </t>
  </si>
  <si>
    <t>Delta-Than</t>
  </si>
  <si>
    <t xml:space="preserve">Клей из каучука </t>
  </si>
  <si>
    <t xml:space="preserve">Изоспан KL+ </t>
  </si>
  <si>
    <t>Delta-SCHAUM-BAND SB60</t>
  </si>
  <si>
    <t xml:space="preserve">Уплотнительная лента под контробрешетку </t>
  </si>
  <si>
    <t>Tyvek Double-sides Tape</t>
  </si>
  <si>
    <t>Delta-Multi-Band M60</t>
  </si>
  <si>
    <t>Delta-Inside-Band I 60</t>
  </si>
  <si>
    <t>Односторонняя соединительная лента для внутренних работ</t>
  </si>
  <si>
    <t>Delta-Duo Tape 38</t>
  </si>
  <si>
    <t>Сопутствуюшие товары</t>
  </si>
  <si>
    <t>Цена, руб/ед.изм.</t>
  </si>
  <si>
    <t>упак</t>
  </si>
  <si>
    <t>* - под заказ!</t>
  </si>
  <si>
    <t>Гидро-Пароизоляция Optima</t>
  </si>
  <si>
    <t>Гидро-Пароизоляция Folder/Скотч</t>
  </si>
  <si>
    <t>Гидро-Пароизоляция TYVEK/AirGuard</t>
  </si>
  <si>
    <t>Гидро-Пароизоляция Delta</t>
  </si>
  <si>
    <t>Гидро-Пароизоляция Grand Line</t>
  </si>
  <si>
    <t>Гидроизоляция Изоспан</t>
  </si>
  <si>
    <t>Гидро-Пароизоляция ТЕХНОНИКОЛЬ</t>
  </si>
  <si>
    <t>Мембраны ISOBOX</t>
  </si>
  <si>
    <t>5.3. Утеплители</t>
  </si>
  <si>
    <t>Торговая марка</t>
  </si>
  <si>
    <t>Вид</t>
  </si>
  <si>
    <t>Материал</t>
  </si>
  <si>
    <t>Сфера</t>
  </si>
  <si>
    <t xml:space="preserve">Применение </t>
  </si>
  <si>
    <t>Плот-ность,
кг/м3</t>
  </si>
  <si>
    <t xml:space="preserve">Размеры </t>
  </si>
  <si>
    <t>шт. в упак.</t>
  </si>
  <si>
    <t>Упаковка BхШхД, мм</t>
  </si>
  <si>
    <t>Куб.м   в   упак.</t>
  </si>
  <si>
    <t>Кв.м   в упак.</t>
  </si>
  <si>
    <t>ТхШхД, мм</t>
  </si>
  <si>
    <t>ROCKWOOL</t>
  </si>
  <si>
    <t>ROCKWOOL ЭКОНОМ</t>
  </si>
  <si>
    <t>плита</t>
  </si>
  <si>
    <t xml:space="preserve">каменная вата </t>
  </si>
  <si>
    <t>универсальный</t>
  </si>
  <si>
    <t>Мансарды, перегородки, полы по лагам, каркасные стены, стены с отделкой сайдингом, балконы</t>
  </si>
  <si>
    <r>
      <rPr>
        <b/>
        <sz val="10"/>
        <rFont val="Arial Cyr"/>
        <charset val="204"/>
      </rPr>
      <t>50</t>
    </r>
    <r>
      <rPr>
        <sz val="10"/>
        <rFont val="Arial Cyr"/>
        <charset val="204"/>
      </rPr>
      <t xml:space="preserve"> х 600 х 1000</t>
    </r>
  </si>
  <si>
    <t>400 х 600 х 1000</t>
  </si>
  <si>
    <r>
      <rPr>
        <b/>
        <sz val="10"/>
        <rFont val="Arial Cyr"/>
        <charset val="204"/>
      </rPr>
      <t>100</t>
    </r>
    <r>
      <rPr>
        <sz val="10"/>
        <rFont val="Arial Cyr"/>
        <charset val="204"/>
      </rPr>
      <t xml:space="preserve"> х 600 х 1000</t>
    </r>
  </si>
  <si>
    <t>ROCKWOOL ЛАЙТ БАТТС СКАНДИК</t>
  </si>
  <si>
    <t>Скатные кровли, мансарды, стены (каркасные и с отделкой сайдингом), перегородки, перекрытия, балконы, бани, сауны</t>
  </si>
  <si>
    <r>
      <rPr>
        <b/>
        <sz val="10"/>
        <rFont val="Arial Cyr"/>
        <charset val="204"/>
      </rPr>
      <t>50</t>
    </r>
    <r>
      <rPr>
        <sz val="10"/>
        <rFont val="Arial Cyr"/>
        <charset val="204"/>
      </rPr>
      <t xml:space="preserve"> х 600 х 800</t>
    </r>
  </si>
  <si>
    <t>600 х 600 х 800</t>
  </si>
  <si>
    <r>
      <rPr>
        <b/>
        <sz val="10"/>
        <rFont val="Arial Cyr"/>
        <charset val="204"/>
      </rPr>
      <t>100</t>
    </r>
    <r>
      <rPr>
        <sz val="10"/>
        <rFont val="Arial Cyr"/>
        <charset val="204"/>
      </rPr>
      <t xml:space="preserve"> х 600 х 800</t>
    </r>
  </si>
  <si>
    <t>каменная вата</t>
  </si>
  <si>
    <r>
      <rPr>
        <b/>
        <sz val="10"/>
        <rFont val="Arial Cyr"/>
        <charset val="204"/>
      </rPr>
      <t>100</t>
    </r>
    <r>
      <rPr>
        <sz val="10"/>
        <rFont val="Arial Cyr"/>
        <charset val="204"/>
      </rPr>
      <t xml:space="preserve"> х 600 х 1200</t>
    </r>
  </si>
  <si>
    <t>ТЕХНОНИКОЛЬ</t>
  </si>
  <si>
    <t>ТЕХНОЛАЙТ ЭКСТРА (РОКЛАЙТ)</t>
  </si>
  <si>
    <t>Скатные кровли, чердачные перекрытия, полы по лагам, перегородки вентилируемые фасады (в качестве внутреннего теплоизоляционного слоя)</t>
  </si>
  <si>
    <r>
      <rPr>
        <b/>
        <sz val="10"/>
        <rFont val="Arial Cyr"/>
        <charset val="204"/>
      </rPr>
      <t xml:space="preserve">50 </t>
    </r>
    <r>
      <rPr>
        <sz val="10"/>
        <rFont val="Arial Cyr"/>
        <charset val="204"/>
      </rPr>
      <t>х 600 х 1200</t>
    </r>
  </si>
  <si>
    <t>400 х 600 х 1200</t>
  </si>
  <si>
    <t>600 х 600 х 1200</t>
  </si>
  <si>
    <t>ТЕХНОБЛОК СТАНДАРТ</t>
  </si>
  <si>
    <t>минеральная вата</t>
  </si>
  <si>
    <t>KNAUF</t>
  </si>
  <si>
    <t>ТеплоКНАУФ для КОТТЕДЖА TS037 Термо Плита Aquastatik</t>
  </si>
  <si>
    <t>Скатне кровли, стены, шумоизоляция комнат</t>
  </si>
  <si>
    <r>
      <rPr>
        <b/>
        <sz val="10"/>
        <rFont val="Arial Cyr"/>
        <charset val="204"/>
      </rPr>
      <t>50</t>
    </r>
    <r>
      <rPr>
        <sz val="10"/>
        <rFont val="Arial Cyr"/>
        <charset val="204"/>
      </rPr>
      <t xml:space="preserve"> х 610 х 1230</t>
    </r>
  </si>
  <si>
    <t>800 х 610 х 1230</t>
  </si>
  <si>
    <t>ТеплоКНАУФ для КОТТЕДЖА+ TS037 Термо Плита Aquastatik</t>
  </si>
  <si>
    <r>
      <rPr>
        <b/>
        <sz val="10"/>
        <rFont val="Arial Cyr"/>
        <charset val="204"/>
      </rPr>
      <t>100</t>
    </r>
    <r>
      <rPr>
        <sz val="10"/>
        <rFont val="Arial Cyr"/>
        <charset val="204"/>
      </rPr>
      <t xml:space="preserve"> х 610 х 1230</t>
    </r>
  </si>
  <si>
    <t>1200 х 610 х 1230</t>
  </si>
  <si>
    <t>внутренние помещения</t>
  </si>
  <si>
    <t>Шумоизоляция перегородок, полов, подвесных потолков</t>
  </si>
  <si>
    <t>ТеплоКНАУФ для Кровли R37MR Термо Ролл</t>
  </si>
  <si>
    <t>для кровли</t>
  </si>
  <si>
    <t>Скатные кровли, мансарды</t>
  </si>
  <si>
    <r>
      <rPr>
        <b/>
        <sz val="10"/>
        <rFont val="Arial Cyr"/>
        <charset val="204"/>
      </rPr>
      <t>50</t>
    </r>
    <r>
      <rPr>
        <sz val="10"/>
        <rFont val="Arial Cyr"/>
        <charset val="204"/>
      </rPr>
      <t xml:space="preserve"> х 1220 х 6148</t>
    </r>
  </si>
  <si>
    <t>длина 1220</t>
  </si>
  <si>
    <t>ТеплоКНАУФ для Кровли+ R37MR Термо Ролл</t>
  </si>
  <si>
    <r>
      <rPr>
        <b/>
        <sz val="10"/>
        <rFont val="Arial Cyr"/>
        <charset val="204"/>
      </rPr>
      <t>150</t>
    </r>
    <r>
      <rPr>
        <sz val="10"/>
        <rFont val="Arial Cyr"/>
        <charset val="204"/>
      </rPr>
      <t xml:space="preserve"> х 1200 х 5500</t>
    </r>
  </si>
  <si>
    <t>ECOROLL TS40</t>
  </si>
  <si>
    <t>Скатные кровли, стены, перегородки</t>
  </si>
  <si>
    <r>
      <rPr>
        <b/>
        <sz val="10"/>
        <rFont val="Arial Cyr"/>
        <charset val="204"/>
      </rPr>
      <t xml:space="preserve">100 </t>
    </r>
    <r>
      <rPr>
        <sz val="10"/>
        <rFont val="Arial Cyr"/>
        <charset val="204"/>
      </rPr>
      <t>х 610 х 1230</t>
    </r>
  </si>
  <si>
    <t>ECOROLL TR44</t>
  </si>
  <si>
    <t>Летние кухни, хозблоки, чердачные и междуэтажные перекрытя</t>
  </si>
  <si>
    <r>
      <rPr>
        <b/>
        <sz val="10"/>
        <rFont val="Arial Cyr"/>
        <charset val="204"/>
      </rPr>
      <t>50</t>
    </r>
    <r>
      <rPr>
        <sz val="10"/>
        <rFont val="Arial Cyr"/>
        <charset val="204"/>
      </rPr>
      <t xml:space="preserve"> х 1220 х 8200</t>
    </r>
  </si>
  <si>
    <t>длина 1200</t>
  </si>
  <si>
    <t>распродажа складских остатков</t>
  </si>
  <si>
    <t>ТеплоКНАУФ ФАСАД TS034 Термо Плита Aquastatik (3)</t>
  </si>
  <si>
    <t>только для фасадов</t>
  </si>
  <si>
    <t>Фасады с облицовкой из мелкоштучных материалов (кирпич)</t>
  </si>
  <si>
    <r>
      <rPr>
        <b/>
        <sz val="10"/>
        <rFont val="Arial Cyr"/>
        <charset val="204"/>
      </rPr>
      <t>50</t>
    </r>
    <r>
      <rPr>
        <sz val="10"/>
        <rFont val="Arial Cyr"/>
        <charset val="204"/>
      </rPr>
      <t xml:space="preserve"> х 600 х 1250</t>
    </r>
  </si>
  <si>
    <t>800 х 600 х 1250</t>
  </si>
  <si>
    <t>ТеплоКНАУФ ФАСАД TS034 А Термо Плита (3)</t>
  </si>
  <si>
    <t>Вентилируемые фасады под облицовку высотой до 4х этажей</t>
  </si>
  <si>
    <t>600 х 600 х 1250</t>
  </si>
  <si>
    <t>ТеплоКНАУФ КОТТЕДЖ / для КОТТЕДЖА TR037 Термо Ролл Aquastatik (3)</t>
  </si>
  <si>
    <t>Скатные кровли, стены, шумоизоляция комнат</t>
  </si>
  <si>
    <r>
      <rPr>
        <b/>
        <sz val="10"/>
        <rFont val="Arial Cyr"/>
        <charset val="204"/>
      </rPr>
      <t xml:space="preserve">50 </t>
    </r>
    <r>
      <rPr>
        <sz val="10"/>
        <rFont val="Arial Cyr"/>
        <charset val="204"/>
      </rPr>
      <t>х 1220 х 6148</t>
    </r>
  </si>
  <si>
    <t xml:space="preserve">дл. 1220, 
Ø 400 </t>
  </si>
  <si>
    <t>ТеплоКНАУФ СКАТНАЯ КРОВЛЯ TR037 Термо Ролл Aquastatik (3)(4)</t>
  </si>
  <si>
    <r>
      <rPr>
        <b/>
        <sz val="10"/>
        <rFont val="Arial Cyr"/>
        <charset val="204"/>
      </rPr>
      <t>2х50</t>
    </r>
    <r>
      <rPr>
        <sz val="10"/>
        <rFont val="Arial Cyr"/>
        <charset val="204"/>
      </rPr>
      <t xml:space="preserve"> х 1200 х 9000</t>
    </r>
  </si>
  <si>
    <t>ТеплоКНАУФ ДАЧА TR 044 Термо Ролл (3)</t>
  </si>
  <si>
    <t>для черд. и межэт. перек-тий</t>
  </si>
  <si>
    <t>Чердачные и межэтажные перекрытия</t>
  </si>
  <si>
    <r>
      <rPr>
        <b/>
        <sz val="10"/>
        <rFont val="Arial Cyr"/>
        <charset val="204"/>
      </rPr>
      <t>2х50</t>
    </r>
    <r>
      <rPr>
        <sz val="10"/>
        <rFont val="Arial Cyr"/>
        <charset val="204"/>
      </rPr>
      <t xml:space="preserve"> х 1200 х 7380</t>
    </r>
  </si>
  <si>
    <t>Товар продается кратно упаковкам.</t>
  </si>
  <si>
    <t>(1) не подерживается на складе, под заказ; доставка утеплителя на склад платная, точную цену уточнять у менеджера</t>
  </si>
  <si>
    <t>(2) поддерживается только на складе в Яровлавле, отгрузки только с данного склада</t>
  </si>
  <si>
    <t>(3) позиции продаются до исчерпания складских запасов</t>
  </si>
  <si>
    <t>(4) утеплитель ТеплоКНАУФ СКАТНАЯ КРОВЛЯ поставляется только под заказ при объеме от фуры</t>
  </si>
  <si>
    <t>(5) Акция до распродажи складских остатков</t>
  </si>
  <si>
    <t>По всем вопросам обращайтесь к менеджеру по продажам</t>
  </si>
  <si>
    <t>Наименование и внешний вид</t>
  </si>
  <si>
    <t>Рекомендации по применению</t>
  </si>
  <si>
    <t>Рекомендации по максимальной толщине утепления (на 45-50 мм меньше длины дюбеля)</t>
  </si>
  <si>
    <t>Руб/упак.</t>
  </si>
  <si>
    <t>Нож для резки изоляционных материалов (EDMA)</t>
  </si>
  <si>
    <t>Для удобного, аккуратного и быстрого раскроя изоляционных материалов. Он предназначен для резки мягких теплоизолирующих материалов, таких как минеральная вата, пенопласт, теплоизоляции на основе волокна, пенополистирола и т.д.</t>
  </si>
  <si>
    <t>300 мм</t>
  </si>
  <si>
    <t>Дюбель для утеплителя с пластиковым гвоздем (IZO)</t>
  </si>
  <si>
    <t>Для монтажа теплоизоляционных материалов, толщиной до 100 мм. При монтаже фасадных систем с воздушным зазором. Примерный расход 6 штук на кв.м. Упаковка 500 штук.</t>
  </si>
  <si>
    <t>10 х 90 мм</t>
  </si>
  <si>
    <t>малоэтажное строительство 1-2 этаж</t>
  </si>
  <si>
    <t>10 х 120 мм</t>
  </si>
  <si>
    <t>70 мм</t>
  </si>
  <si>
    <t>10 х 160 мм</t>
  </si>
  <si>
    <t>110 мм</t>
  </si>
  <si>
    <t>Дюбель для утеплителя с металлическим гвоздем (IZM)</t>
  </si>
  <si>
    <t>Для монтажа теплоизоляционных материалов, толщиной более 100 мм. Примерный расход 6 штук на кв.м. Упаковка 500 штук.</t>
  </si>
  <si>
    <t>многоэтажное строительство от   2-го этажа и выше</t>
  </si>
  <si>
    <t>Дюбель для утеплителя с металлическим гвоздем и 
термоголовкой (IZL-Т)</t>
  </si>
  <si>
    <t>Для монтажа теплоизоляционных материалов на фасады с последующей "мокрой отделкой". Примерный расход 6 штук на кв.м. Упаковка 500 штук.</t>
  </si>
  <si>
    <t>мокрые фасады</t>
  </si>
  <si>
    <t>Стоимость дюбелей других размеров и срок поставки уточняйте в менеджера по продажам</t>
  </si>
  <si>
    <t>Утеплитель ROCKWOOL</t>
  </si>
  <si>
    <t>Утеплитель Paroc</t>
  </si>
  <si>
    <t>Утеплитель Техно</t>
  </si>
  <si>
    <t>Утеплитель Knauf</t>
  </si>
  <si>
    <t>Металл в покрытии Print 0,45мм цвет Naive Maroon (только Санкт-Петербург)</t>
  </si>
  <si>
    <t>СТОП-цена действительна при отгрузке с завода Санкт-Петербург, руб/кв.м.</t>
  </si>
  <si>
    <t>Print 0,45мм Naive Maroon</t>
  </si>
  <si>
    <t>Гарантия Grand Line</t>
  </si>
  <si>
    <t>Металлочерепица Classic, Modern, Kredo</t>
  </si>
  <si>
    <t>Плоский лист, штрипс, отмотка</t>
  </si>
  <si>
    <t>По цене доборных элементов в покрытии Atlas</t>
  </si>
  <si>
    <r>
      <rPr>
        <sz val="10"/>
        <color indexed="10"/>
        <rFont val="Arial Cyr"/>
        <charset val="204"/>
      </rPr>
      <t xml:space="preserve">ВНИМАНИЕ! </t>
    </r>
    <r>
      <rPr>
        <sz val="10"/>
        <rFont val="Arial Cyr"/>
        <charset val="204"/>
      </rPr>
      <t>Количество и образцы металла уточняете у менеджера!</t>
    </r>
  </si>
  <si>
    <t>Распродажа складских остатков кляммеров PREFA (только Санкт-Петербург)</t>
  </si>
  <si>
    <t>Цена действительна при отгрузке с завода Санкт-Петербург, руб./шт.</t>
  </si>
  <si>
    <t>Кляммер кровельный неподвижный нерж. 25мм (PREFA)</t>
  </si>
  <si>
    <t>J-профиль 18 мм 2м/3м</t>
  </si>
  <si>
    <t>J-профиль 12 мм 2м/3м</t>
  </si>
  <si>
    <t>Планка начальная фальц</t>
  </si>
  <si>
    <t>Планка околооконная фальц</t>
  </si>
  <si>
    <t>Планка угла внешнего простая фальц</t>
  </si>
  <si>
    <t>Планка угла внутреннего простая фальц</t>
  </si>
  <si>
    <t>Планка завершающая фальц</t>
  </si>
  <si>
    <t>50 лет</t>
  </si>
  <si>
    <t>25 лет</t>
  </si>
  <si>
    <t>Длина          min/max, м</t>
  </si>
  <si>
    <t xml:space="preserve">   ОБОЖЖЕННЫЙ        ПЕСЧАНЫЙ         ТЕРРАКОТОВЫЙ        АНТИЧНЫЙ               БЕЖЕВЫЙ          МРАМОРНЫЙ          КРАСНЫЙ</t>
  </si>
  <si>
    <t>OSB-3 плита 2,5м*1,25м*9мм (1)</t>
  </si>
  <si>
    <t>OSB-3 плита 2,5м*1,25м*9мм (2)</t>
  </si>
  <si>
    <r>
      <rPr>
        <b/>
        <sz val="10"/>
        <color indexed="8"/>
        <rFont val="Arial Cyr"/>
        <charset val="204"/>
      </rPr>
      <t>Гарантия:</t>
    </r>
    <r>
      <rPr>
        <sz val="10"/>
        <color indexed="8"/>
        <rFont val="Arial Cyr"/>
        <charset val="204"/>
      </rPr>
      <t xml:space="preserve"> Увеличены сроки гарантии на покрытия Quarzit, Velur, Atlas, Polydexter, Polydexter Matt, Satin, Drap. </t>
    </r>
    <r>
      <rPr>
        <b/>
        <sz val="10"/>
        <color indexed="8"/>
        <rFont val="Arial Cyr"/>
        <charset val="204"/>
      </rPr>
      <t>Цены:</t>
    </r>
    <r>
      <rPr>
        <sz val="10"/>
        <color indexed="8"/>
        <rFont val="Arial Cyr"/>
        <charset val="204"/>
      </rPr>
      <t xml:space="preserve"> изменение цен гидропароизоляции (5.1), изменение цен и ассортимента кровельной вентиляции Vilpe (1.17), Воронеж и Краснодар - изменения цен утеплителя (5.3), Обнинск (со склада Яровлавль) и Санкт-Петербург - изменение цены OSB (1.4, 1.5)</t>
    </r>
  </si>
  <si>
    <t>рулон, 10 м²</t>
  </si>
  <si>
    <t>рулон 15м², вес 2,3кг/м²</t>
  </si>
  <si>
    <t>рулон 40м², вес 0,4кг/м²</t>
  </si>
  <si>
    <t>рулон 25м², вес 0,4кг/м²</t>
  </si>
  <si>
    <t>рулон 15м², вес 1,5 кг/м²</t>
  </si>
  <si>
    <t>рулон 15м², вес 1,3 кг/м²</t>
  </si>
  <si>
    <t>рулон 15м², вес 1,0 кг/м²</t>
  </si>
  <si>
    <t>Проходной элемент Decra 2К Vilpe. Для КЧ GL Barcelona.</t>
  </si>
  <si>
    <t>Проходной элемент DECRA 2К Vilpe</t>
  </si>
  <si>
    <t>Проходной элемент UNIVERSAL 2К Vilpe</t>
  </si>
  <si>
    <t>2,10 - 2,20</t>
  </si>
  <si>
    <t>Название упаковки обобщенное</t>
  </si>
  <si>
    <t>Название упаковки в 1С</t>
  </si>
  <si>
    <t>Описание упаковки</t>
  </si>
  <si>
    <t>Max длина упаковки, м</t>
  </si>
  <si>
    <t>Max ширина упаковки, м</t>
  </si>
  <si>
    <r>
      <t xml:space="preserve">Цена руб./ед.изм </t>
    </r>
    <r>
      <rPr>
        <b/>
        <sz val="10"/>
        <color indexed="10"/>
        <rFont val="Arial Cyr"/>
        <charset val="204"/>
      </rPr>
      <t>при отгрузке со следующих заводов:</t>
    </r>
  </si>
  <si>
    <t>Упаковка для металлочерепицы</t>
  </si>
  <si>
    <t>Упаковка СБ Усиленная</t>
  </si>
  <si>
    <t>Упаковка МЧ (с/б - Усиленная)</t>
  </si>
  <si>
    <t>3 продольные доски снизу, плетеная пленка, стяжка лентой через брус</t>
  </si>
  <si>
    <t>п.м</t>
  </si>
  <si>
    <t>Упаковка СБ Экстра</t>
  </si>
  <si>
    <t>Упаковка МЧ (с/б - Экстра)</t>
  </si>
  <si>
    <t>3 продольные доски снизу, 2 продольные доски сверху, плетеная пленка, стяжка лентой через брус</t>
  </si>
  <si>
    <t>Упаковка для профнастила</t>
  </si>
  <si>
    <t>Упаковка СБ</t>
  </si>
  <si>
    <t>Упаковка ПН (сб/1210)</t>
  </si>
  <si>
    <r>
      <t>плетеная пленка</t>
    </r>
    <r>
      <rPr>
        <sz val="10"/>
        <rFont val="Arial Cyr"/>
        <charset val="204"/>
      </rPr>
      <t>*, стяжка лентой через брус</t>
    </r>
  </si>
  <si>
    <t>Упаковка ПН (сб/1210) продольная стяжка</t>
  </si>
  <si>
    <t>Упаковка ПН (сб/1100)</t>
  </si>
  <si>
    <t>Упаковка ПН (сб/1100) продольная стяжка</t>
  </si>
  <si>
    <t>Упаковка ПН (сб/930)</t>
  </si>
  <si>
    <t>Упаковка ПН (сб/830)</t>
  </si>
  <si>
    <t>Упаковка ПН (поддон/1210)</t>
  </si>
  <si>
    <t>поддон, плетеная пленка*, стяжка лентой</t>
  </si>
  <si>
    <t>Упаковка ПН (поддон) продольная стяжка</t>
  </si>
  <si>
    <t>Упаковка ПН (поддон/1100)</t>
  </si>
  <si>
    <t>Упаковка для пл. листа, штрипса и отмотки</t>
  </si>
  <si>
    <t>Упаковка ПЛ (поддон)</t>
  </si>
  <si>
    <t>плоский лист, отмотка</t>
  </si>
  <si>
    <t>1,06/1,26</t>
  </si>
  <si>
    <t>Упаковка ПЛ (поддон) продольная стяжка</t>
  </si>
  <si>
    <t>Упаковка ПЛ (поддон/1060)</t>
  </si>
  <si>
    <t>Упаковка штрипса (поддон)</t>
  </si>
  <si>
    <t>Упаковка Р (рулон)</t>
  </si>
  <si>
    <t>Упаковка ПЛ (рулон)</t>
  </si>
  <si>
    <t>листы скручиваются в рулон, плетеная пленка*, стяжка лентой через доску.</t>
  </si>
  <si>
    <t>плоский лист</t>
  </si>
  <si>
    <t>0,50 - 0,60</t>
  </si>
  <si>
    <t>Упаковка штрипса (рулон)</t>
  </si>
  <si>
    <t>Упаковка отмотки (рулон)</t>
  </si>
  <si>
    <t>Упаковка отмотки (рулон усиленный)</t>
  </si>
  <si>
    <t>Упаковка Р (поддон)</t>
  </si>
  <si>
    <t>Упаковка отмотки (поддон Р)</t>
  </si>
  <si>
    <t>листы скручиваются в рулон, картонная вставка, плетеная пленка*, стяжка лентой через доску, рулонный поддон</t>
  </si>
  <si>
    <t>Упаковка штрипса (поддон Р)</t>
  </si>
  <si>
    <t>Упаковка отмотки (Макси)_Коммунар</t>
  </si>
  <si>
    <t>поддон, листы скручиваются в рулон, плетеная пленка, стяжка лентой</t>
  </si>
  <si>
    <t>Упаковка ФК поддон</t>
  </si>
  <si>
    <t>поддон, плетеная пленка, стяжка лентой</t>
  </si>
  <si>
    <t>Упаковка ФК поддон mini</t>
  </si>
  <si>
    <t>Упаковка ФК клеть усиленная</t>
  </si>
  <si>
    <t>клеть, плетеная пленка, металлическая стяжка, 2 продольные доски сверху клети (для погрузки в 2 ряда)</t>
  </si>
  <si>
    <t>Упаковка ФК клеть усиленная mini</t>
  </si>
  <si>
    <t>Упаковка для сайдинга</t>
  </si>
  <si>
    <t>Упаковка Пленка</t>
  </si>
  <si>
    <t>весь сайдинг</t>
  </si>
  <si>
    <t>Упаковка сайдинга КД (поддон)</t>
  </si>
  <si>
    <t>поддон, гофрокартон, упаковка сайдинга "Пленка", плетеная пленка, стяжка через лентой бруски</t>
  </si>
  <si>
    <t>корабельная доска</t>
  </si>
  <si>
    <t>Упаковка сайдинга ЭБ (поддон)</t>
  </si>
  <si>
    <t>экобрус</t>
  </si>
  <si>
    <t>Упаковка сайдинга БХ (поддон)</t>
  </si>
  <si>
    <t>блок-хаус</t>
  </si>
  <si>
    <t>Упаковка сайдинга Вертикаль (поддон)</t>
  </si>
  <si>
    <t>вертикаль</t>
  </si>
  <si>
    <t>Упаковка Поддон усиленный</t>
  </si>
  <si>
    <t>клеть, поддон, упаковка сайдинга "Пленка", плетеная пленка, стяжка лентой через бруски</t>
  </si>
  <si>
    <t>КД, ЭБ</t>
  </si>
  <si>
    <t>Упаковка сайдинга усиленная М2 (поддон)</t>
  </si>
  <si>
    <t>Упаковка для софита</t>
  </si>
  <si>
    <t>Упаковка софита (поддон)</t>
  </si>
  <si>
    <t>поддон, гофрокартон, упаковка сайдинга "Пленка", плетеная пленка, стяжка лентой через бруски</t>
  </si>
  <si>
    <t>Упаковка софита - пленка</t>
  </si>
  <si>
    <t>плетеная пленка</t>
  </si>
  <si>
    <t>Упаковка штакетника</t>
  </si>
  <si>
    <t>Упаковка штакетника (сб/1200)</t>
  </si>
  <si>
    <t>плетеная пленка*, стяжка лентой через брус</t>
  </si>
  <si>
    <t>весь шткетник</t>
  </si>
  <si>
    <t>Упаковка штакетника (сб/550)</t>
  </si>
  <si>
    <t>Упаковка металлической вентилируемой обрешетки</t>
  </si>
  <si>
    <t>Упаковка вентпрогона (сб/1060)</t>
  </si>
  <si>
    <t>Упаковка вентпрогона фальц (сб/550)</t>
  </si>
  <si>
    <t>Упаковка Колпаков (пленка)</t>
  </si>
  <si>
    <t>Упаковка нестандартная для металлочерепицы и профнастила</t>
  </si>
  <si>
    <t>Упаковка нестандартная</t>
  </si>
  <si>
    <t>плетеная пленка* (ограничение максимум 5 листов)</t>
  </si>
  <si>
    <t>МЧ, С8, С10, С20, НС35</t>
  </si>
  <si>
    <t>* продукция с цинковым покрытием не укрывается плетеной пленкой</t>
  </si>
  <si>
    <t>(6) в Санкт-Петербурге возможен заказ продукции в покрытиях GreenCoat Pural и Pural Matt в нестандартных цветах. Минимальный заказ 100 кв.м. Продукция в покрытиях Pural и Pural Matt в цветах RR30, 31, 34, 36, 37, 40, 41, 798,779, 5j3 дороже на 5% продукции в стандартных цветах. Продукция в цветах RR20, 21, 22, 35, 594 продается без наценки.</t>
  </si>
  <si>
    <t>Планка П-образная 20*30 мм /заверш. сложная/ (для сайдинга КД)</t>
  </si>
  <si>
    <t>J-профиль 18 мм (для сайдинга Верт.)</t>
  </si>
  <si>
    <t>РОЗНИЧНЫЙ ПРАЙС-ЛИСТ</t>
  </si>
  <si>
    <t>большой</t>
  </si>
  <si>
    <t>малой*</t>
  </si>
  <si>
    <t>малой</t>
  </si>
  <si>
    <t>Профиль ППЭ 47*17</t>
  </si>
  <si>
    <t>Кол-во в упак.</t>
  </si>
  <si>
    <t>Комплектующие к профилю ПП 60*27 (часть 1)</t>
  </si>
  <si>
    <t>Комплектующие к профилю ПП 60*27 (часть 2)</t>
  </si>
  <si>
    <t>Соединитель профилей краб (138*138 мм)</t>
  </si>
  <si>
    <t>Подвес прямой (274*30 мм)</t>
  </si>
  <si>
    <t>Подвес прямой (274*27 мм)</t>
  </si>
  <si>
    <t>150 СПб100</t>
  </si>
  <si>
    <t>Комплектующие к профилю ППЭ 47*17</t>
  </si>
  <si>
    <t>Подвес прямой (294*30 мм)</t>
  </si>
  <si>
    <t>Подвес прямой 47*17 (280 мм)</t>
  </si>
  <si>
    <t>Подвес прямой 47*17 (196 мм) укороченный</t>
  </si>
  <si>
    <t>Соединитель профилей торцевой 47*17</t>
  </si>
  <si>
    <t>Удлинитель профилей 47*17</t>
  </si>
  <si>
    <t>Подвес прямой (294*27 мм)</t>
  </si>
  <si>
    <t>Подвес анкерный 47*17</t>
  </si>
  <si>
    <t>Профиль угловой ПУ 35*35</t>
  </si>
  <si>
    <t>C завода Нижний-Новгород отгрузка производится малыми пачками</t>
  </si>
  <si>
    <r>
      <rPr>
        <b/>
        <sz val="10"/>
        <color indexed="8"/>
        <rFont val="Arial Cyr"/>
        <charset val="204"/>
      </rPr>
      <t>Цены:</t>
    </r>
    <r>
      <rPr>
        <sz val="10"/>
        <color indexed="8"/>
        <rFont val="Arial Cyr"/>
        <charset val="204"/>
      </rPr>
      <t xml:space="preserve"> изменение цен на PE Дачный (в.п., 1.1, 3.1, 4.1); изменение цен мастик и праймеров для гибкой черепицы (1.6, 1.4); изменение цен утеплителя (5.3); </t>
    </r>
    <r>
      <rPr>
        <u/>
        <sz val="10"/>
        <color indexed="8"/>
        <rFont val="Arial Cyr"/>
        <charset val="204"/>
      </rPr>
      <t>Санкт-Петербург</t>
    </r>
    <r>
      <rPr>
        <sz val="10"/>
        <color indexed="8"/>
        <rFont val="Arial Cyr"/>
        <charset val="204"/>
      </rPr>
      <t xml:space="preserve"> - изменение цен ГК-профиля (3.7). </t>
    </r>
    <r>
      <rPr>
        <b/>
        <sz val="10"/>
        <color indexed="8"/>
        <rFont val="Arial Cyr"/>
        <charset val="204"/>
      </rPr>
      <t>Новинка:</t>
    </r>
    <r>
      <rPr>
        <sz val="10"/>
        <color indexed="8"/>
        <rFont val="Arial Cyr"/>
        <charset val="204"/>
      </rPr>
      <t xml:space="preserve"> подкладочные ковры под гибкую черепицу (1.4). </t>
    </r>
    <r>
      <rPr>
        <b/>
        <sz val="10"/>
        <color indexed="8"/>
        <rFont val="Arial Cyr"/>
        <charset val="204"/>
      </rPr>
      <t xml:space="preserve">Иное: </t>
    </r>
    <r>
      <rPr>
        <sz val="10"/>
        <color indexed="8"/>
        <rFont val="Arial Cyr"/>
        <charset val="204"/>
      </rPr>
      <t xml:space="preserve">выведены из ассортимента пленки Folder Minima D98 и H98; уточнение по ассортименту сварных сеток для ограждений (4.5); актуализированна страница упаковки (7); </t>
    </r>
    <r>
      <rPr>
        <u/>
        <sz val="10"/>
        <color indexed="8"/>
        <rFont val="Arial Cyr"/>
        <charset val="204"/>
      </rPr>
      <t>Санкт-Петербург</t>
    </r>
    <r>
      <rPr>
        <sz val="10"/>
        <color indexed="8"/>
        <rFont val="Arial Cyr"/>
        <charset val="204"/>
      </rPr>
      <t xml:space="preserve"> - возможно изготовление продукции с покрытием Pural в нестандартных цветах (в.п, 1.1, 1.3, 3.1, 4.1)</t>
    </r>
  </si>
  <si>
    <r>
      <rPr>
        <b/>
        <sz val="10"/>
        <color indexed="8"/>
        <rFont val="Arial Cyr"/>
        <charset val="204"/>
      </rPr>
      <t>Цены:</t>
    </r>
    <r>
      <rPr>
        <sz val="10"/>
        <color indexed="8"/>
        <rFont val="Arial Cyr"/>
        <charset val="204"/>
      </rPr>
      <t xml:space="preserve"> изменение цен профилировки в покрытии Цинк (в.п., 2.1); металлических доборных элементов (1.2, 3.2); профилировка 0,4 Pe, Дачный(склад); рамки для фальца</t>
    </r>
  </si>
  <si>
    <r>
      <rPr>
        <b/>
        <sz val="10"/>
        <color indexed="8"/>
        <rFont val="Arial Cyr"/>
        <charset val="204"/>
      </rPr>
      <t xml:space="preserve">Цены: </t>
    </r>
    <r>
      <rPr>
        <sz val="10"/>
        <color indexed="8"/>
        <rFont val="Arial Cyr"/>
        <charset val="204"/>
      </rPr>
      <t>увеличение цены на герметик (5.3, 1.1); Санкт-Петербург - изменение цен ГК профиля (3.7)</t>
    </r>
  </si>
  <si>
    <r>
      <rPr>
        <b/>
        <sz val="10"/>
        <color indexed="8"/>
        <rFont val="Arial Cyr"/>
        <charset val="204"/>
      </rPr>
      <t xml:space="preserve">Цены: </t>
    </r>
    <r>
      <rPr>
        <sz val="10"/>
        <color indexed="8"/>
        <rFont val="Arial Cyr"/>
        <charset val="204"/>
      </rPr>
      <t xml:space="preserve">ОСП Обн (в 1.4; 1.5), корректировка С10 пэ 0,45 (1.1;3.1;4.1), корректировка Дэ(1.2; 3.2). </t>
    </r>
    <r>
      <rPr>
        <b/>
        <sz val="10"/>
        <color indexed="8"/>
        <rFont val="Arial Cyr"/>
        <charset val="204"/>
      </rPr>
      <t xml:space="preserve">Иное: </t>
    </r>
    <r>
      <rPr>
        <sz val="10"/>
        <color indexed="8"/>
        <rFont val="Arial Cyr"/>
        <charset val="204"/>
      </rPr>
      <t>примечание(1.1; 1.3; 3.1; 4.1)</t>
    </r>
  </si>
  <si>
    <t>RAL2004, RAL1018</t>
  </si>
  <si>
    <t>RAL 2004, RAL1018</t>
  </si>
  <si>
    <r>
      <t xml:space="preserve">Колпак на столбы для ограждений 390*390 (1) </t>
    </r>
    <r>
      <rPr>
        <b/>
        <sz val="10"/>
        <color indexed="10"/>
        <rFont val="Arial Cyr"/>
        <charset val="204"/>
      </rPr>
      <t xml:space="preserve"> Выгодно!</t>
    </r>
  </si>
  <si>
    <t>(1) колпак для столбов ограждений 390*390 РЕ в цветах RAL 3005, RAL 6005, RAL 8017 (толщина стали 0,4 мм) является складской позицией и доступен для заказа без ограничений. Колпаки в прочих покрытях и цветах изготавливаются и отгружаются кратно 2 шт.</t>
  </si>
  <si>
    <r>
      <t xml:space="preserve">Панель фасадная GL "ЯФАСАД" 
</t>
    </r>
    <r>
      <rPr>
        <b/>
        <sz val="10"/>
        <rFont val="Arial Cyr"/>
        <charset val="204"/>
      </rPr>
      <t>Екатерининский камень</t>
    </r>
  </si>
  <si>
    <r>
      <rPr>
        <b/>
        <sz val="10"/>
        <color indexed="8"/>
        <rFont val="Arial Cyr"/>
        <charset val="204"/>
      </rPr>
      <t xml:space="preserve">Цены: </t>
    </r>
    <r>
      <rPr>
        <sz val="10"/>
        <color indexed="8"/>
        <rFont val="Arial Cyr"/>
        <charset val="204"/>
      </rPr>
      <t xml:space="preserve">профилированные изделия в покрытии Quarzit (в.п., 1.1, 1.2, 1.3, 3.1, 4.1), металлочерепица Kvinta plus во всех покрытиях (в.п, 1.1), панели композитной черепицы Metrotile (1.10). </t>
    </r>
    <r>
      <rPr>
        <b/>
        <sz val="10"/>
        <color indexed="8"/>
        <rFont val="Arial Cyr"/>
        <charset val="204"/>
      </rPr>
      <t xml:space="preserve">Новинка: </t>
    </r>
    <r>
      <rPr>
        <sz val="10"/>
        <color indexed="8"/>
        <rFont val="Arial Cyr"/>
        <charset val="204"/>
      </rPr>
      <t>новые цвета панелей ЯФАСАД (3.5)</t>
    </r>
  </si>
  <si>
    <t>Упаковка из расчета за кв.м. фальца</t>
  </si>
  <si>
    <t>Упаковка из расчета за кв.м. сайдинга</t>
  </si>
  <si>
    <t>Проходной элемент PELTI Vilpe. Для КЧ GL Valencia.</t>
  </si>
  <si>
    <r>
      <t xml:space="preserve">GRR 1050 (модель "ручка снизу" дерево) </t>
    </r>
    <r>
      <rPr>
        <b/>
        <sz val="10"/>
        <color indexed="10"/>
        <rFont val="Arial Cyr"/>
        <charset val="204"/>
      </rPr>
      <t>АКЦИЯ до распродажи складских остатков!!!</t>
    </r>
  </si>
  <si>
    <r>
      <t xml:space="preserve">Оклад EZR 0000 для проф. Кровли </t>
    </r>
    <r>
      <rPr>
        <b/>
        <sz val="10"/>
        <color indexed="10"/>
        <rFont val="Arial Cyr"/>
        <charset val="204"/>
      </rPr>
      <t>АКЦИЯ до распродажи складских остатков!!!</t>
    </r>
  </si>
  <si>
    <t>ед. изм.</t>
  </si>
  <si>
    <t>J-профиль Slim</t>
  </si>
  <si>
    <t>Угол наружный Slim</t>
  </si>
  <si>
    <t>Ноименование</t>
  </si>
  <si>
    <r>
      <t xml:space="preserve">Premium софит GL </t>
    </r>
    <r>
      <rPr>
        <b/>
        <sz val="11"/>
        <color indexed="8"/>
        <rFont val="Calibri"/>
        <family val="2"/>
        <charset val="204"/>
      </rPr>
      <t>Estetic</t>
    </r>
    <r>
      <rPr>
        <sz val="11"/>
        <color theme="1"/>
        <rFont val="Calibri"/>
        <family val="2"/>
        <charset val="204"/>
        <scheme val="minor"/>
      </rPr>
      <t xml:space="preserve"> (скрытая перфорация)</t>
    </r>
  </si>
  <si>
    <t>0,246 х 3</t>
  </si>
  <si>
    <t>для нанесения насечек на край панели в месте соединения с доборными элементами (финишная планка, околооконная планка)</t>
  </si>
  <si>
    <t>для просечения овальных отверстий в виниловых панелях</t>
  </si>
  <si>
    <r>
      <t xml:space="preserve">Софит Т4 GL </t>
    </r>
    <r>
      <rPr>
        <b/>
        <sz val="11"/>
        <color indexed="8"/>
        <rFont val="Calibri"/>
        <family val="2"/>
        <charset val="204"/>
      </rPr>
      <t>Классика</t>
    </r>
    <r>
      <rPr>
        <sz val="11"/>
        <color theme="1"/>
        <rFont val="Calibri"/>
        <family val="2"/>
        <charset val="204"/>
        <scheme val="minor"/>
      </rPr>
      <t xml:space="preserve"> (БП, ЧП, ПП)*</t>
    </r>
  </si>
  <si>
    <t>0,303 х 3</t>
  </si>
  <si>
    <t>для демонтажа панелей винилового сайдинга без повреждения</t>
  </si>
  <si>
    <t>Степлер для скоб 4-14х0,7мм Stelgrit</t>
  </si>
  <si>
    <t>для крепления различного вида пленок гидро- и пароизоляции к деревянной обрешетке</t>
  </si>
  <si>
    <r>
      <t xml:space="preserve">Софит Т4 GL </t>
    </r>
    <r>
      <rPr>
        <b/>
        <sz val="11"/>
        <color indexed="8"/>
        <rFont val="Calibri"/>
        <family val="2"/>
        <charset val="204"/>
      </rPr>
      <t>Классика</t>
    </r>
    <r>
      <rPr>
        <sz val="11"/>
        <color theme="1"/>
        <rFont val="Calibri"/>
        <family val="2"/>
        <charset val="204"/>
        <scheme val="minor"/>
      </rPr>
      <t xml:space="preserve"> (ЧП)</t>
    </r>
  </si>
  <si>
    <t>темный дуб (АСА)</t>
  </si>
  <si>
    <t>используется я в комплекте со степлером для крепления  различного вида обивочных материалов</t>
  </si>
  <si>
    <r>
      <t xml:space="preserve">Софит Т3 GL </t>
    </r>
    <r>
      <rPr>
        <b/>
        <sz val="11"/>
        <color indexed="8"/>
        <rFont val="Calibri"/>
        <family val="2"/>
        <charset val="204"/>
      </rPr>
      <t>Классика слим</t>
    </r>
    <r>
      <rPr>
        <sz val="11"/>
        <color theme="1"/>
        <rFont val="Calibri"/>
        <family val="2"/>
        <charset val="204"/>
        <scheme val="minor"/>
      </rPr>
      <t xml:space="preserve"> (БП, ЧП, ПП)</t>
    </r>
  </si>
  <si>
    <t>0,229 х 3</t>
  </si>
  <si>
    <t>влагоизоляционная, ветрозащитная пленка плотностью 100 г/м²</t>
  </si>
  <si>
    <r>
      <t xml:space="preserve">Софит Т4 GL </t>
    </r>
    <r>
      <rPr>
        <b/>
        <sz val="11"/>
        <color indexed="8"/>
        <rFont val="Calibri"/>
        <family val="2"/>
        <charset val="204"/>
      </rPr>
      <t>Лайт</t>
    </r>
    <r>
      <rPr>
        <sz val="11"/>
        <color theme="1"/>
        <rFont val="Calibri"/>
        <family val="2"/>
        <charset val="204"/>
        <scheme val="minor"/>
      </rPr>
      <t xml:space="preserve"> (ЧП) </t>
    </r>
    <r>
      <rPr>
        <b/>
        <sz val="11"/>
        <color indexed="10"/>
        <rFont val="Calibri"/>
        <family val="2"/>
        <charset val="204"/>
      </rPr>
      <t>NEW</t>
    </r>
  </si>
  <si>
    <t>фронтонная решётка для вентиляции чердачных помещений</t>
  </si>
  <si>
    <t>обрамляют выходы устройств вентиляции помещений на фасадах</t>
  </si>
  <si>
    <t>* Здесь и далее в таблице: БП - без перфорации, ЧП - частично перфоррированный, ПП - полностью перфорированный</t>
  </si>
  <si>
    <r>
      <t xml:space="preserve">Цвета Винилового сайдинга:  Стандартные - </t>
    </r>
    <r>
      <rPr>
        <sz val="10"/>
        <rFont val="Arial Cyr"/>
        <charset val="204"/>
      </rPr>
      <t xml:space="preserve">бежевый, ванильный, персиковый, салатовый, серый, белый, кремовый, голубой, слоновая кость  </t>
    </r>
    <r>
      <rPr>
        <b/>
        <sz val="10"/>
        <rFont val="Arial Cyr"/>
        <charset val="204"/>
      </rPr>
      <t>Премиум</t>
    </r>
    <r>
      <rPr>
        <sz val="10"/>
        <rFont val="Arial Cyr"/>
        <charset val="204"/>
      </rPr>
      <t xml:space="preserve"> - карамельный, темно-бежевый, золотой песок</t>
    </r>
  </si>
  <si>
    <t>Софит Т4 GL Лайт</t>
  </si>
  <si>
    <t>4.4. Модульные ограждения Grand Line®</t>
  </si>
  <si>
    <t>Высота ограждения, м</t>
  </si>
  <si>
    <t xml:space="preserve">Комплект на 2,5 метра прямого не замкнутого участка без учета финишных столбов и калиток с воротами Модульных ограждений Grand Line® </t>
  </si>
  <si>
    <r>
      <t xml:space="preserve">Цена за 1 п.м. комплекта, руб. </t>
    </r>
    <r>
      <rPr>
        <b/>
        <sz val="10"/>
        <color indexed="10"/>
        <rFont val="Arial Cyr"/>
        <charset val="204"/>
      </rPr>
      <t>Внимание! Расчет теоретический</t>
    </r>
    <r>
      <rPr>
        <b/>
        <sz val="10"/>
        <rFont val="Arial Cyr"/>
        <charset val="204"/>
      </rPr>
      <t>. Продажа ведется по ЭЛЕМЕНТАМ и расчет по конкретному участку будет отличаться!</t>
    </r>
  </si>
  <si>
    <t>Ограждение Grand Line®  Эконом</t>
  </si>
  <si>
    <t>Труба 40*20*2500 мм  - 2 шт.   
Cтолб 62*55*2500 (3000) мм  - 1 шт. 
Х - кронштейн - 2 шт.
Саморезы 5,5*19</t>
  </si>
  <si>
    <t>Полимер</t>
  </si>
  <si>
    <t>Cтойка 84*48</t>
  </si>
  <si>
    <t>Cтолб 62*55</t>
  </si>
  <si>
    <t>Ограждение Grand Line®   Премиум</t>
  </si>
  <si>
    <t>Панель  860*1600 (1970)мм - 3 шт.
Направляющая  60*20*2500 мм - 2 шт.
Стойка 84*48*2500 (3000) мм - 2 шт.
Крышка универсальная - 1 шт.
Саморезы 5,5*19</t>
  </si>
  <si>
    <t>Ограждение Grand Line®    Стандарт</t>
  </si>
  <si>
    <t>Панель  860*1600 (1970)мм - 3 шт. 
Cтолб  62*55*2500 (3000) мм -1 шт.        
Направляющая  60*20*2500 мм - 2 шт.  
Т - кронштейн - 2 шт.
Саморезы 5,5*19</t>
  </si>
  <si>
    <t>Ограждение Grand Line®  Премиум  Плюс</t>
  </si>
  <si>
    <t>Панель  860*1600 (1970) мм - 3 шт.
Направляющая  60*20*2500 мм  - 3 шт.
Декор. полотно 360*2500 мм - 1 шт.
Стойка 84*48*2500 (3000) мм  - 2 шт.
Столб 62*55*3000 - 1 шт (обязат. для ограждения 2,4 м)
Крышка универсальная - 1 шт. / Крышка - 2 шт.
Саморезы 5,5*19</t>
  </si>
  <si>
    <t>Элементы модульных ограждений Grand Line®</t>
  </si>
  <si>
    <t xml:space="preserve">Габаритные размеры, мм                             </t>
  </si>
  <si>
    <t>Кол-во в упак , шт</t>
  </si>
  <si>
    <t>Вес, кг/шт</t>
  </si>
  <si>
    <t>860*1600</t>
  </si>
  <si>
    <t>вишневый RAL 3005, зеленый RAL 6005, коричневый RAL 8017, серый RAL 7024, коричневый RR 32</t>
  </si>
  <si>
    <t xml:space="preserve">860*1970 </t>
  </si>
  <si>
    <t xml:space="preserve">Труба                   </t>
  </si>
  <si>
    <t xml:space="preserve">40*20*2500  </t>
  </si>
  <si>
    <t xml:space="preserve">цинк </t>
  </si>
  <si>
    <t>вишневый RAL 3005, зеленый RAL 6005, коричневый RAL 8017</t>
  </si>
  <si>
    <t>40*20*3000</t>
  </si>
  <si>
    <r>
      <t xml:space="preserve">Столб с 9ю отверстиями с заглушкой </t>
    </r>
    <r>
      <rPr>
        <b/>
        <sz val="10"/>
        <color indexed="10"/>
        <rFont val="Arial Cyr"/>
        <charset val="204"/>
      </rPr>
      <t>NEW</t>
    </r>
  </si>
  <si>
    <t>62*55*2500</t>
  </si>
  <si>
    <t>зеленый RAL 6005, коричневый RAL 8017</t>
  </si>
  <si>
    <t xml:space="preserve"> Cтолб + заглушка</t>
  </si>
  <si>
    <t xml:space="preserve">62*55*2500     </t>
  </si>
  <si>
    <t xml:space="preserve">62*55*3000   </t>
  </si>
  <si>
    <t xml:space="preserve">Направляющая  </t>
  </si>
  <si>
    <t xml:space="preserve">60*20*2500 </t>
  </si>
  <si>
    <t xml:space="preserve"> Декоративное полотно                                                         </t>
  </si>
  <si>
    <t xml:space="preserve">360*2500    </t>
  </si>
  <si>
    <t>бежевый RAL 1014
жемчужно-белый RAL 1013
коричневый RAL 8017</t>
  </si>
  <si>
    <t xml:space="preserve"> Стойка </t>
  </si>
  <si>
    <t>84*48*2500</t>
  </si>
  <si>
    <t xml:space="preserve">84*48*3000 </t>
  </si>
  <si>
    <r>
      <t xml:space="preserve">Скоба Эконом </t>
    </r>
    <r>
      <rPr>
        <b/>
        <sz val="10"/>
        <color indexed="10"/>
        <rFont val="Arial Cyr"/>
        <charset val="204"/>
      </rPr>
      <t>NEW</t>
    </r>
  </si>
  <si>
    <t>в комплекте с болтом М6*85, шайбой, гайкой</t>
  </si>
  <si>
    <t>14,5*30*80</t>
  </si>
  <si>
    <r>
      <t xml:space="preserve">Скоба Эконом угловая </t>
    </r>
    <r>
      <rPr>
        <b/>
        <sz val="10"/>
        <color indexed="10"/>
        <rFont val="Arial Cyr"/>
        <charset val="204"/>
      </rPr>
      <t>NEW</t>
    </r>
  </si>
  <si>
    <t>14,5*30*51</t>
  </si>
  <si>
    <t xml:space="preserve">Х-кронштейн </t>
  </si>
  <si>
    <t xml:space="preserve">248*109*40 </t>
  </si>
  <si>
    <t>Т-кронштейн</t>
  </si>
  <si>
    <t>155*90*80</t>
  </si>
  <si>
    <t>Крышка универсальная</t>
  </si>
  <si>
    <t>100*87*20</t>
  </si>
  <si>
    <t>Заглушка GL 62*55 пластик</t>
  </si>
  <si>
    <t>62*55*30</t>
  </si>
  <si>
    <t>L-кронштейн</t>
  </si>
  <si>
    <t>60*20*110</t>
  </si>
  <si>
    <t>Крышка</t>
  </si>
  <si>
    <t>87*50</t>
  </si>
  <si>
    <t>Заклепка цветная 3,2*8 цвет по RAL</t>
  </si>
  <si>
    <t>вишневый RAL 3005
зеленый RAL 6005
коричневый RAL 8017</t>
  </si>
  <si>
    <t>Саморез с прессшайбой 4,2*16 цвет по RAL</t>
  </si>
  <si>
    <t>Саморез металл-металл 5,5*19 бур.№3 цвет по RAL</t>
  </si>
  <si>
    <t>Саморез металл-дерево 4,8*35 цвет по RAL</t>
  </si>
  <si>
    <t>Цвета модульных ограждений GL:   зеленый RAL 6005, вишневый RAL 3005, зеленый RAL 6005, серый RAL 7024, коричневый RAL 8017, коричневый RR 32</t>
  </si>
  <si>
    <t>Декоративное полотно на складе в цветах RAL1013, RAL1014; изготавливается под заказа в 3-х цветах: RAL3005, RAL6005, RAL8017</t>
  </si>
  <si>
    <t>зеленый RAL 6005, коричневый RAL 8017
(временно под заказ, уточняйте у менеджера)</t>
  </si>
  <si>
    <r>
      <rPr>
        <b/>
        <sz val="10"/>
        <color indexed="8"/>
        <rFont val="Arial Cyr"/>
        <charset val="204"/>
      </rPr>
      <t>Цены:</t>
    </r>
    <r>
      <rPr>
        <sz val="10"/>
        <color indexed="8"/>
        <rFont val="Arial Cyr"/>
        <charset val="204"/>
      </rPr>
      <t xml:space="preserve"> инструмент (5.5), гибкая черепица ИКОПАЛ Плано (1.5), элементы ограждений Locinox (4.8). Санкт-Петербург - утеплитель (5.3), акция на OSB (1.4,1.5). </t>
    </r>
    <r>
      <rPr>
        <b/>
        <sz val="10"/>
        <color indexed="8"/>
        <rFont val="Arial Cyr"/>
        <charset val="204"/>
      </rPr>
      <t xml:space="preserve">Новинки: </t>
    </r>
    <r>
      <rPr>
        <sz val="10"/>
        <color indexed="8"/>
        <rFont val="Arial Cyr"/>
        <charset val="204"/>
      </rPr>
      <t xml:space="preserve">виниловый софит Лайт (3.3), элементы подсистемы ограждений Эконом (4.4). </t>
    </r>
    <r>
      <rPr>
        <b/>
        <sz val="10"/>
        <color indexed="8"/>
        <rFont val="Arial Cyr"/>
        <charset val="204"/>
      </rPr>
      <t xml:space="preserve">Иное: </t>
    </r>
    <r>
      <rPr>
        <sz val="10"/>
        <color indexed="8"/>
        <rFont val="Arial Cyr"/>
        <charset val="204"/>
      </rPr>
      <t>измененн проходной элемент для композитной черепицы Grand Line (1.7), скорректированы распродажные модели мансардных окон VELUX модельи GRR 1050 (1.21), прочее (7)</t>
    </r>
  </si>
  <si>
    <t>Степлер для скоб 4-14х0,7мм Stelgrit (Для крепления различного вида пленок гидро- и пароизоляции к деревянной обрешетке)</t>
  </si>
  <si>
    <t xml:space="preserve">Штакетник </t>
  </si>
  <si>
    <t>Дачный PE склад</t>
  </si>
  <si>
    <t>Дачный PE       пр-во</t>
  </si>
  <si>
    <t>Бетонное основание (рапродажа остатка)</t>
  </si>
  <si>
    <t xml:space="preserve">металлопрофиль, мч, фальцевая кровли </t>
  </si>
  <si>
    <t>от 10 до 45</t>
  </si>
  <si>
    <t>525х525</t>
  </si>
  <si>
    <t>580х580</t>
  </si>
  <si>
    <r>
      <rPr>
        <b/>
        <sz val="10"/>
        <color indexed="8"/>
        <rFont val="Arial Cyr"/>
        <charset val="204"/>
      </rPr>
      <t xml:space="preserve">Цены: </t>
    </r>
    <r>
      <rPr>
        <sz val="10"/>
        <color indexed="8"/>
        <rFont val="Arial Cyr"/>
        <charset val="204"/>
      </rPr>
      <t>профилированные изделия в покрытии PE Дачный (в.п., 1.1, 3.1, 4.1), временные ограждения (4.5)</t>
    </r>
  </si>
  <si>
    <t>1.18. Вентиляция Krovent и ТехноНИКОЛЬ</t>
  </si>
  <si>
    <t>1.19. Проходные элементы кровли Master Flash</t>
  </si>
  <si>
    <t>1.20. Дымоходы Ferrum</t>
  </si>
  <si>
    <t xml:space="preserve">1.21. Мансардные окна и аксессуары Fakro </t>
  </si>
  <si>
    <t>1.22. Мансардные окна и аксессуары Velux Optima</t>
  </si>
  <si>
    <t>1.23. Мансардные окна и аксессуары Velux Premium</t>
  </si>
  <si>
    <t>1.24. Флюгеры</t>
  </si>
  <si>
    <t>1.25. Дымники (флюгарка) и колпаки под заказ</t>
  </si>
  <si>
    <t>1.18. Вентиляция ТехноНИКОЛЬ</t>
  </si>
  <si>
    <t>Вентиль SKAT Monterrey кровельный</t>
  </si>
  <si>
    <t>металлочерепица с профилем Monterrey</t>
  </si>
  <si>
    <t>красный, коричневый, серый, зеленый</t>
  </si>
  <si>
    <t>Вентиль SKAT кровельный</t>
  </si>
  <si>
    <t>гибкая черепица, металлическая фальцевая кровля</t>
  </si>
  <si>
    <t>Аэратор КТВ</t>
  </si>
  <si>
    <t>гибкая черепица на которой отсутствует конек крыши</t>
  </si>
  <si>
    <t>Аэратор КТВ-альфа</t>
  </si>
  <si>
    <r>
      <t xml:space="preserve">Выход вентиляции ТехноНИКОЛЬ D110
</t>
    </r>
    <r>
      <rPr>
        <sz val="10"/>
        <rFont val="Arial Cyr"/>
        <charset val="204"/>
      </rPr>
      <t>Сфера применения: вентиляция канализационных стояков. Рекомендуем применять на кровлях летних домов</t>
    </r>
  </si>
  <si>
    <r>
      <t xml:space="preserve">Выход вентиляции ТехноНИКОЛЬ D125/160 изолированный
</t>
    </r>
    <r>
      <rPr>
        <sz val="10"/>
        <rFont val="Arial Cyr"/>
        <charset val="204"/>
      </rPr>
      <t>Сфера применения: вентиляция канализационных стояков.</t>
    </r>
  </si>
  <si>
    <r>
      <t xml:space="preserve">Колпак ТехноНИКОЛЬ D 110 RR
</t>
    </r>
    <r>
      <rPr>
        <sz val="10"/>
        <rFont val="Arial Cyr"/>
        <charset val="204"/>
      </rPr>
      <t>Используется для вент.выхода D110</t>
    </r>
  </si>
  <si>
    <r>
      <t xml:space="preserve">Колпак ТехноНИКОЛЬ D 160
</t>
    </r>
    <r>
      <rPr>
        <sz val="10"/>
        <rFont val="Arial Cyr"/>
        <charset val="204"/>
      </rPr>
      <t>Используется для вент.выхода D125/160</t>
    </r>
  </si>
  <si>
    <t>Проходной элемент SKAT Monterrey кровельный</t>
  </si>
  <si>
    <t>Проходной элемент SKAT кровельный</t>
  </si>
  <si>
    <t>Проходной элемент ТехноНИКОЛЬ (Шинглас)</t>
  </si>
  <si>
    <t>Вентиляция ТехноНИКОЛЬ</t>
  </si>
  <si>
    <t>1.19. Кровельные проходки Master Flash</t>
  </si>
  <si>
    <t>Фланец</t>
  </si>
  <si>
    <t>размер, мм</t>
  </si>
  <si>
    <t>материал</t>
  </si>
  <si>
    <t>металлическая лента по краю</t>
  </si>
  <si>
    <t>6 - 50</t>
  </si>
  <si>
    <t>EPDM</t>
  </si>
  <si>
    <t>есть</t>
  </si>
  <si>
    <t>127 - 228</t>
  </si>
  <si>
    <t>45 - 75</t>
  </si>
  <si>
    <t>152 - 280</t>
  </si>
  <si>
    <t>6 - 102</t>
  </si>
  <si>
    <t>178 - 330</t>
  </si>
  <si>
    <t>102 - 178</t>
  </si>
  <si>
    <t>254 - 502</t>
  </si>
  <si>
    <t>75 - 160</t>
  </si>
  <si>
    <t>Проходной элемент угловой №1</t>
  </si>
  <si>
    <t>75 - 200</t>
  </si>
  <si>
    <t>алюминий неокр.**</t>
  </si>
  <si>
    <t>Проходной элемент угловой №2</t>
  </si>
  <si>
    <t>203 - 280</t>
  </si>
  <si>
    <r>
      <t>Материал силикон (до +240</t>
    </r>
    <r>
      <rPr>
        <b/>
        <vertAlign val="superscript"/>
        <sz val="10"/>
        <rFont val="Arial Cyr"/>
        <charset val="204"/>
      </rPr>
      <t>o</t>
    </r>
    <r>
      <rPr>
        <b/>
        <sz val="10"/>
        <rFont val="Arial Cyr"/>
        <charset val="204"/>
      </rPr>
      <t>C) *</t>
    </r>
  </si>
  <si>
    <t>Проходной элемент угловой №3</t>
  </si>
  <si>
    <t>280 - 460</t>
  </si>
  <si>
    <t>Проходной элемент профи №1</t>
  </si>
  <si>
    <t>силикон</t>
  </si>
  <si>
    <t>есть, окрашена в цвет фланца</t>
  </si>
  <si>
    <t>Проходной элемент профи №2</t>
  </si>
  <si>
    <t>Проходной элемент профи №2 (под м/ч)</t>
  </si>
  <si>
    <t>380 - 760</t>
  </si>
  <si>
    <t>металл неокр.**</t>
  </si>
  <si>
    <t>585 - 1050</t>
  </si>
  <si>
    <t>125 - 280</t>
  </si>
  <si>
    <t>В связи с особенностями производства проходные элементы Master Flash в разных партиях могут отличатся друг от друга по оттенку. В рамках одного заказа могут поставляться проходные элементы, изготовленные в разных партиях.</t>
  </si>
  <si>
    <t>Все злементы можно заказать в цветах: черный, красный, коричневый, зеленый, серый, синий</t>
  </si>
  <si>
    <t>* проходные элементы Master Flash из силикона поставляются только под заказ</t>
  </si>
  <si>
    <t>** Материал фланца неокрашенный алюминий, нет металлической ленты по краю. Окрашенный фланец поставляется только под заказ.</t>
  </si>
  <si>
    <t>1.25. Дымники (флюгарка) и колпаки на столбы под заказ</t>
  </si>
  <si>
    <t xml:space="preserve">1.24. Флюгеры «Duck and Dog®» </t>
  </si>
  <si>
    <t xml:space="preserve">1.23. VELUX Мансардные окна, аксессуары для окон НОВОГО ПОКОЛЕНИЯ PREMIUM </t>
  </si>
  <si>
    <t xml:space="preserve">                                   1.22. VELUX Мансардные окна, аксессуары для окон (распродаются до окончания остатков на складах)</t>
  </si>
  <si>
    <t xml:space="preserve">1.22. VELUX Мансардные окна, аксессуары для окон НОВОГО ПОКОЛЕНИЯ OPTIMA </t>
  </si>
  <si>
    <t>1.21. Fakro Мансардные окна, аксессуары для окон, чердачные лестницы</t>
  </si>
  <si>
    <t xml:space="preserve"> 1.22, 1.23</t>
  </si>
  <si>
    <t xml:space="preserve"> 1.1, 1.2, 1.12, 1.17, 5.2</t>
  </si>
  <si>
    <t xml:space="preserve"> 1.25, 4.1</t>
  </si>
  <si>
    <t xml:space="preserve"> 1.3, 1.7, 1.8, 1.9, 1.10</t>
  </si>
  <si>
    <t xml:space="preserve"> 1.21, 1.22, 1.23</t>
  </si>
  <si>
    <t xml:space="preserve"> 1.21</t>
  </si>
  <si>
    <t xml:space="preserve"> 1.24</t>
  </si>
  <si>
    <t xml:space="preserve"> 3.1, 3.8</t>
  </si>
  <si>
    <t xml:space="preserve"> 4.1, 4.2, 5.2</t>
  </si>
  <si>
    <t xml:space="preserve"> 1.18</t>
  </si>
  <si>
    <t xml:space="preserve"> 1.1, 2.1, 5.2</t>
  </si>
  <si>
    <t xml:space="preserve"> 1.21, 1.24</t>
  </si>
  <si>
    <t>Окно FTP-V P2 (ранее L3) ПРОФИ триплекс с легкоочищающимся покрытием</t>
  </si>
  <si>
    <t xml:space="preserve">Окно FTP-V U3 Eleсtro/Z-Wave Вентклапан V40P  </t>
  </si>
  <si>
    <t>Окно PTP U3 Plastic (модель из ПВХ)</t>
  </si>
  <si>
    <t xml:space="preserve">Окно PTP-V U3 ПВХ Вентклапан V35   </t>
  </si>
  <si>
    <t>Оклад EZV-P (свинцовый фартук) / EZV-A (алюминиевый фартук) для профилированной кровли</t>
  </si>
  <si>
    <t>Оклад ESV для плоской кровли</t>
  </si>
  <si>
    <t>Окно FWR U3 (правое), FWL U3 (левое) TERMO-PLUS (окно распашное термоизоляционное)</t>
  </si>
  <si>
    <t>Оклад ESW для плоских кровельных материалов</t>
  </si>
  <si>
    <t>Оклад XDP наружный утепленный гидроизоляционный оклад</t>
  </si>
  <si>
    <t>Оклад XDS внутренний пароизоляционный оклад</t>
  </si>
  <si>
    <t>Комплект окладов XDK гидро- пароизоляционный</t>
  </si>
  <si>
    <t>55х170</t>
  </si>
  <si>
    <t>55х200</t>
  </si>
  <si>
    <t>66х200</t>
  </si>
  <si>
    <t>66х250</t>
  </si>
  <si>
    <t>78х200</t>
  </si>
  <si>
    <t>78х250</t>
  </si>
  <si>
    <t>94х200</t>
  </si>
  <si>
    <t>94х250</t>
  </si>
  <si>
    <t>114х200</t>
  </si>
  <si>
    <t>114х250</t>
  </si>
  <si>
    <t>134х200</t>
  </si>
  <si>
    <t>для окон следующих размеров</t>
  </si>
  <si>
    <t>Кол-во листов в упаковке, шт</t>
  </si>
  <si>
    <t>максимальное</t>
  </si>
  <si>
    <t>минимальное</t>
  </si>
  <si>
    <t>изделия-1, образцы-20</t>
  </si>
  <si>
    <t>Упаковка СБ Ультра</t>
  </si>
  <si>
    <t>Упаковка МЧ (с/б - Ультра)</t>
  </si>
  <si>
    <t>4 продольные доски снизу, плетеная пленка, стяжка лентой через брус</t>
  </si>
  <si>
    <t>ПН-200, образцы ПН-100</t>
  </si>
  <si>
    <t>С8В-11, ПН-6, образцы ПН-20, мерный ПН-1</t>
  </si>
  <si>
    <t>С8, С10, С20, изделия из цинка, одного размера</t>
  </si>
  <si>
    <t>НС35 изделия из цинка, одного размера</t>
  </si>
  <si>
    <t>толщина 0,45-0,5 - 120, 0,55-0,6 - 100, 0,65-0,7 - 85, 0,8 - 71, 0,9 - 57</t>
  </si>
  <si>
    <t>толщина 0,45-0,5 - 100, 0,55-0,6 - 80, 0,65-0,7 - 64, 0,8 - 45, 0,9 - 44</t>
  </si>
  <si>
    <t>толщина 0,4-0,45 - 200, 0,48-0,55 - 180, 0,7 - 125, 0,8 - 105, 0,9 - 95</t>
  </si>
  <si>
    <t>длина 3м - 3, 7,99м - 1</t>
  </si>
  <si>
    <t>Упаковка для фальца</t>
  </si>
  <si>
    <t>ДВС-50 ДВС 0,7-48, КФ-54, КФ 0,7-52, образцы ДВС-50, образцы КФ-54</t>
  </si>
  <si>
    <t>изделия-10, образцы-15</t>
  </si>
  <si>
    <t>БХ-30, БХ new-20, Вертикаль, КД - 34, ЭБ-24, образцы - 30</t>
  </si>
  <si>
    <t>Упаковка сайдинга усиленная КД (ЭБ) (поддон)</t>
  </si>
  <si>
    <t>КД-360, ЭБ-216, софит металл.-100</t>
  </si>
  <si>
    <t>КД-350, ЭБ-175</t>
  </si>
  <si>
    <t>10 и более ДЭ (пленка) упаковывается на поддон</t>
  </si>
  <si>
    <t>ДЭ, штакетник, вентпрогон, тройники</t>
  </si>
  <si>
    <t>ДЭ-30, Штакетник-50,Тройник-10,вент-прогон-50</t>
  </si>
  <si>
    <t>изделия-1, образцы-15</t>
  </si>
  <si>
    <t>Круг-450, Мобр. и Побр. - 501</t>
  </si>
  <si>
    <t>Круг-330, Мобр., Побр., Прямоуг - 500</t>
  </si>
  <si>
    <t>только СПб</t>
  </si>
  <si>
    <t>Кронштейн трубы на кирпич
(в комплекте шпилька-саморез, дюбель, декоративная накладка*)</t>
  </si>
  <si>
    <t>* Кронштейн на кирпич может укомплектовываться декоративной накладкой, а может поставляться и без нее. Отсутствие декоративной накладки не является пересортом.</t>
  </si>
  <si>
    <t>красный, коричневый, серый, зеленый*, кирпичный*, черный*</t>
  </si>
  <si>
    <t>гибкая черепица, фальцевая кровля</t>
  </si>
  <si>
    <t>красный, коричневый, зеленый, серый*</t>
  </si>
  <si>
    <t>красный, коричневый, серый, зеленый, кирпичный, черный</t>
  </si>
  <si>
    <t>гибкая черепица</t>
  </si>
  <si>
    <t>коричневый, красный*, зеленый*, серый*</t>
  </si>
  <si>
    <t>коричневый, красный*, зеленый*</t>
  </si>
  <si>
    <t>красный, коричневый, зеленый, серый*, черный*</t>
  </si>
  <si>
    <t>красный, коричневый,  зеленый, кирпичный*, серый*, черный*</t>
  </si>
  <si>
    <t>коричневый, красный*, зеленый*, кирпичный*, серый*, черный*</t>
  </si>
  <si>
    <t>* цвета поставляются под заказ, на складе не поддерживаются</t>
  </si>
  <si>
    <t>Кровельные вентили и проходные элементы Кровент герметиком и уплотнителем гидрозатвора не комплектуются, приобретаются отдельно</t>
  </si>
  <si>
    <t>красный, коричневый, зеленый, кирпичный*, серый*</t>
  </si>
  <si>
    <r>
      <t xml:space="preserve">Underlay - </t>
    </r>
    <r>
      <rPr>
        <sz val="10"/>
        <color indexed="8"/>
        <rFont val="Arial Cyr"/>
        <charset val="204"/>
      </rPr>
      <t>уплотнитель гидрозатвора для предотвращения попадания влаги в теплоизоляцию</t>
    </r>
  </si>
  <si>
    <t>Premium софит GL Estetic (скрытая перфорация)</t>
  </si>
  <si>
    <t>Софит Т4 GL Классика (БП, ЧП, ПП)*</t>
  </si>
  <si>
    <t>Софит Т4 GL Лайт (ЧП)</t>
  </si>
  <si>
    <t>0,303х1,5 м</t>
  </si>
  <si>
    <t>0,303 х  1,5</t>
  </si>
  <si>
    <t>Примечения</t>
  </si>
  <si>
    <r>
      <rPr>
        <b/>
        <sz val="10"/>
        <color indexed="8"/>
        <rFont val="Arial Cyr"/>
        <charset val="204"/>
      </rPr>
      <t>Цены</t>
    </r>
    <r>
      <rPr>
        <sz val="10"/>
        <color indexed="8"/>
        <rFont val="Arial Cyr"/>
        <charset val="204"/>
      </rPr>
      <t xml:space="preserve">: мансардные окна Fakro (1.21), теплицы (6.1), брусок профилированный (5.2), акция на крюкогиб (5.5). </t>
    </r>
    <r>
      <rPr>
        <b/>
        <sz val="10"/>
        <color indexed="8"/>
        <rFont val="Arial Cyr"/>
        <charset val="204"/>
      </rPr>
      <t xml:space="preserve">Новинка: </t>
    </r>
    <r>
      <rPr>
        <sz val="10"/>
        <color indexed="8"/>
        <rFont val="Arial Cyr"/>
        <charset val="204"/>
      </rPr>
      <t xml:space="preserve">вентиляция ТехноНИКОЛЬ (1.18). </t>
    </r>
    <r>
      <rPr>
        <b/>
        <sz val="10"/>
        <color indexed="8"/>
        <rFont val="Arial Cyr"/>
        <charset val="204"/>
      </rPr>
      <t xml:space="preserve">Иное: </t>
    </r>
    <r>
      <rPr>
        <sz val="10"/>
        <color indexed="8"/>
        <rFont val="Arial Cyr"/>
        <charset val="204"/>
      </rPr>
      <t>кровельные проходки Master Flash вынесены на отдельную страницу (1.19), нумерация прочих страниц раздела №1 изменена</t>
    </r>
  </si>
  <si>
    <t>Мускат (коричневый), Фундук (миндаль), Арахис (сандал)</t>
  </si>
  <si>
    <t>Дюна (золотая дюна), Плато (песчаное плато), Мрамор (красный мрамор), Ледник (горный ледник)</t>
  </si>
  <si>
    <t>Гранат, Нефрит (зеленый), Яшма (красно-коричневый), Турмалин (красный), Оникс, Агат (коричневый)</t>
  </si>
  <si>
    <t>Кленовый (красный), Хвойный (зеленый), Осенний, Панговый</t>
  </si>
  <si>
    <t>Рябина (джайв красный), Сандал, Кедр, Эвкалипт (джайв зеленый), Миндаль, Тополь, Дуб (джайв коричневый), Терн</t>
  </si>
  <si>
    <r>
      <rPr>
        <b/>
        <sz val="10"/>
        <color indexed="8"/>
        <rFont val="Arial Cyr"/>
        <charset val="204"/>
      </rPr>
      <t xml:space="preserve">Цены: </t>
    </r>
    <r>
      <rPr>
        <sz val="10"/>
        <color indexed="8"/>
        <rFont val="Arial Cyr"/>
        <charset val="204"/>
      </rPr>
      <t>профилированные изделия и металлические доборные элементы (в.п., 1.1, 3.1, 4.1, 1.2, 1.4, 3.2)</t>
    </r>
  </si>
  <si>
    <t>Углы внешние и внутрение (продукция производства Воронеж)</t>
  </si>
  <si>
    <t>Print Желтое дерево</t>
  </si>
  <si>
    <t>Планка угла внешнего/внутреннего, 2м/3м</t>
  </si>
  <si>
    <t>100-110</t>
  </si>
  <si>
    <t>120-140</t>
  </si>
  <si>
    <t>150-185</t>
  </si>
  <si>
    <t>200-240</t>
  </si>
  <si>
    <t>250-300</t>
  </si>
  <si>
    <t>310-600</t>
  </si>
  <si>
    <t>мятный мокко, американо (2)</t>
  </si>
  <si>
    <t>380 x 1102 мм       (345 x 1058 мм, пол.S=0,365м2)</t>
  </si>
  <si>
    <r>
      <t xml:space="preserve">Лист композитной черепицы Grand Line </t>
    </r>
    <r>
      <rPr>
        <b/>
        <sz val="10"/>
        <rFont val="Arial Cyr"/>
        <charset val="204"/>
      </rPr>
      <t xml:space="preserve">Madrid  </t>
    </r>
    <r>
      <rPr>
        <b/>
        <sz val="10"/>
        <color indexed="10"/>
        <rFont val="Arial Cyr"/>
        <charset val="204"/>
      </rPr>
      <t>NEW</t>
    </r>
  </si>
  <si>
    <t>420 x 1175 мм       (370 x 1100 мм, пол.S=0,4м2)</t>
  </si>
  <si>
    <t>капучино, шоколад, кленовый латте, мятный мокко, американо (2)</t>
  </si>
  <si>
    <t>Общие комплектующие для одностенных дымоходов Ferrum и Ferrum Plus</t>
  </si>
  <si>
    <t>Монтажные элементы для одностенных дымоходов</t>
  </si>
  <si>
    <t>Цена, руб./шт (комплект)</t>
  </si>
  <si>
    <t>Штанга для стенового хомута (комплект 2 шт.)</t>
  </si>
  <si>
    <t>Монтажные элементы для двустенных дымоходов</t>
  </si>
  <si>
    <t>эспрессо (2)</t>
  </si>
  <si>
    <r>
      <rPr>
        <b/>
        <sz val="10"/>
        <color indexed="8"/>
        <rFont val="Arial Cyr"/>
        <charset val="204"/>
      </rPr>
      <t>Цены:</t>
    </r>
    <r>
      <rPr>
        <sz val="10"/>
        <color indexed="8"/>
        <rFont val="Arial Cyr"/>
        <charset val="204"/>
      </rPr>
      <t xml:space="preserve"> композитная металлочерепица Grand Line (1.7); сотовый поликарбонат (6.1), тех. корректировка дымоходы Ferrum (1.20), Обнинск и Нижний-Новгород - профили для гипсокартона (3.7), Санкт-Петербург - продлена акция на OSB (1.4, 1.5). </t>
    </r>
    <r>
      <rPr>
        <b/>
        <sz val="10"/>
        <color indexed="8"/>
        <rFont val="Arial Cyr"/>
        <charset val="204"/>
      </rPr>
      <t>Иное:</t>
    </r>
    <r>
      <rPr>
        <sz val="10"/>
        <color indexed="8"/>
        <rFont val="Arial Cyr"/>
        <charset val="204"/>
      </rPr>
      <t xml:space="preserve"> вывели из ассортимента лестницу Fakro SMART LWS, новая планка в ассортименте терасной доски (6.1)</t>
    </r>
  </si>
  <si>
    <t>Дачный PE производство</t>
  </si>
  <si>
    <t xml:space="preserve">Print Дачный </t>
  </si>
  <si>
    <t>KvintaPl_Ptdp</t>
  </si>
  <si>
    <t>KvintaPl_Pt</t>
  </si>
  <si>
    <t>KvintaPl_Sf</t>
  </si>
  <si>
    <t>KvintaPl_Q</t>
  </si>
  <si>
    <t>KvintaPl_Ql</t>
  </si>
  <si>
    <t>KvintaPl_Vel</t>
  </si>
  <si>
    <t>KvintaPl_Atl</t>
  </si>
  <si>
    <t>KvintaPl_Pur</t>
  </si>
  <si>
    <t>KvintaPl_Pdx</t>
  </si>
  <si>
    <t>KvintaPl_Pdxmatt</t>
  </si>
  <si>
    <t>KvintaPl_Dr</t>
  </si>
  <si>
    <t>KvintaPl_Sat</t>
  </si>
  <si>
    <t>KvintaPl_PEdp</t>
  </si>
  <si>
    <t>KvintaPl_Pe08</t>
  </si>
  <si>
    <t>KvintaPl_Pe07</t>
  </si>
  <si>
    <t>KvintaPl_Pe065</t>
  </si>
  <si>
    <t>KvintaPl_Pe045</t>
  </si>
  <si>
    <t>KvintaPl_Pe04</t>
  </si>
  <si>
    <t>KvintaPl_dachPr</t>
  </si>
  <si>
    <t>KvintaPl_dachSk</t>
  </si>
  <si>
    <t>KvintaPl_Ptdach</t>
  </si>
  <si>
    <t>KvintaPl_PtNN</t>
  </si>
  <si>
    <t>Kamea_Ptdp</t>
  </si>
  <si>
    <t>Kamea_Pt</t>
  </si>
  <si>
    <t>Kamea_Sf</t>
  </si>
  <si>
    <t>Kamea_Q</t>
  </si>
  <si>
    <t>Kamea_Ql</t>
  </si>
  <si>
    <t>Kamea_Vel</t>
  </si>
  <si>
    <t>Kamea_Atl</t>
  </si>
  <si>
    <t>Kamea_Pur</t>
  </si>
  <si>
    <t>Kamea_Pdx</t>
  </si>
  <si>
    <t>Kamea_Pdxmatt</t>
  </si>
  <si>
    <t>Kamea_Dr</t>
  </si>
  <si>
    <t>Kamea_Sat</t>
  </si>
  <si>
    <t>Kamea_PEdp</t>
  </si>
  <si>
    <t>Kamea_Pe08</t>
  </si>
  <si>
    <t>Kamea_Pe07</t>
  </si>
  <si>
    <t>Kamea_Pe065</t>
  </si>
  <si>
    <t>Kamea_Pe045</t>
  </si>
  <si>
    <t>Kamea_Pe04</t>
  </si>
  <si>
    <t>Kamea_dachPr</t>
  </si>
  <si>
    <t>Kamea_dachSk</t>
  </si>
  <si>
    <t>Kamea_Ptdach</t>
  </si>
  <si>
    <t>Kamea_PtNN</t>
  </si>
  <si>
    <t>Kredo_Ptdp</t>
  </si>
  <si>
    <t>Kredo_Pt</t>
  </si>
  <si>
    <t>Kredo_Sf</t>
  </si>
  <si>
    <t>Kredo_Q</t>
  </si>
  <si>
    <t>Kredo_Ql</t>
  </si>
  <si>
    <t>Kredo_Vel</t>
  </si>
  <si>
    <t>Kredo_Atl</t>
  </si>
  <si>
    <t>Kredo_Pur</t>
  </si>
  <si>
    <t>Kredo_Pdx</t>
  </si>
  <si>
    <t>Kredo_Pdxmatt</t>
  </si>
  <si>
    <t>Kredo_Dr</t>
  </si>
  <si>
    <t>Kredo_Sat</t>
  </si>
  <si>
    <t>Kredo_PEdp</t>
  </si>
  <si>
    <t>Kredo_Pe08</t>
  </si>
  <si>
    <t>Kredo_Pe07</t>
  </si>
  <si>
    <t>Kredo_Pe065</t>
  </si>
  <si>
    <t>Kredo_Pe045</t>
  </si>
  <si>
    <t>Kredo_Pe04</t>
  </si>
  <si>
    <t>Kredo_dachPr</t>
  </si>
  <si>
    <t>Kredo_dachSk</t>
  </si>
  <si>
    <t>Kredo_Ptdach</t>
  </si>
  <si>
    <t>Kredo_PtNN</t>
  </si>
  <si>
    <t>Classic_Ptdp</t>
  </si>
  <si>
    <t>Classic_Pt</t>
  </si>
  <si>
    <t>Classic_Sf</t>
  </si>
  <si>
    <t>Classic_Q</t>
  </si>
  <si>
    <t>Classic_Ql</t>
  </si>
  <si>
    <t>Classic_Vel</t>
  </si>
  <si>
    <t>Classic_Atl</t>
  </si>
  <si>
    <t>Classic_Pur</t>
  </si>
  <si>
    <t>Classic_Pdx</t>
  </si>
  <si>
    <t>Classic_Pdxmatt</t>
  </si>
  <si>
    <t>Classic_Dr</t>
  </si>
  <si>
    <t>Classic_Sat</t>
  </si>
  <si>
    <t>Classic_PEdp</t>
  </si>
  <si>
    <t>Classic_Pe08</t>
  </si>
  <si>
    <t>Classic_Pe07</t>
  </si>
  <si>
    <t>Classic_Pe065</t>
  </si>
  <si>
    <t>Classic_Pe045</t>
  </si>
  <si>
    <t>Classic_Pe04</t>
  </si>
  <si>
    <t>Classic_dachPr</t>
  </si>
  <si>
    <t>Classic_dachSk</t>
  </si>
  <si>
    <t>Classic_Ptdach</t>
  </si>
  <si>
    <t>Classic_PtNN</t>
  </si>
  <si>
    <t>Металлочерепица Classic plus</t>
  </si>
  <si>
    <t>ClassicPl_Ptdp</t>
  </si>
  <si>
    <t>ClassicPl_Pt</t>
  </si>
  <si>
    <t>ClassicPl_Sf</t>
  </si>
  <si>
    <t>ClassicPl_Q</t>
  </si>
  <si>
    <t>ClassicPl_Ql</t>
  </si>
  <si>
    <t>ClassicPl_Vel</t>
  </si>
  <si>
    <t>ClassicPl_Atl</t>
  </si>
  <si>
    <t>ClassicPl_Pur</t>
  </si>
  <si>
    <t>ClassicPl_Pdx</t>
  </si>
  <si>
    <t>ClassicPl_Dr</t>
  </si>
  <si>
    <t>ClassicPl_Sat</t>
  </si>
  <si>
    <t>ClassicPl_PEdp</t>
  </si>
  <si>
    <t>ClassicPl_Pe08</t>
  </si>
  <si>
    <t>ClassicPl_Pe07</t>
  </si>
  <si>
    <t>ClassicPl_Pe065</t>
  </si>
  <si>
    <t>ClassicPl_Pe045</t>
  </si>
  <si>
    <t>ClassicPl_Pe04</t>
  </si>
  <si>
    <t>ClassicPl_dachPr</t>
  </si>
  <si>
    <t>ClassicPl_dachSk</t>
  </si>
  <si>
    <t>ClassicPl_Ptdach</t>
  </si>
  <si>
    <t>ClassicPl_PtNN</t>
  </si>
  <si>
    <t>Modern_Ptdp</t>
  </si>
  <si>
    <t>Modern_Pt</t>
  </si>
  <si>
    <t>Modern_Sf</t>
  </si>
  <si>
    <t>Modern_Q</t>
  </si>
  <si>
    <t>Modern_Ql</t>
  </si>
  <si>
    <t>Modern_Vel</t>
  </si>
  <si>
    <t>Modern_Atl</t>
  </si>
  <si>
    <t>Modern_Pur</t>
  </si>
  <si>
    <t>Modern_Pdx</t>
  </si>
  <si>
    <t>Modern_Pdxmatt</t>
  </si>
  <si>
    <t>Modern_Dr</t>
  </si>
  <si>
    <t>Modern_Sat</t>
  </si>
  <si>
    <t>Modern_PEdp</t>
  </si>
  <si>
    <t>Modern_Pe08</t>
  </si>
  <si>
    <t>Modern_Pe07</t>
  </si>
  <si>
    <t>Modern_Pe065</t>
  </si>
  <si>
    <t>Modern_Pe045</t>
  </si>
  <si>
    <t>Modern_Pe04</t>
  </si>
  <si>
    <t>Modern_dachPr</t>
  </si>
  <si>
    <t>Modern_dachSk</t>
  </si>
  <si>
    <t>Modern_Ptdach</t>
  </si>
  <si>
    <t>Modern_PtNN</t>
  </si>
  <si>
    <t>Sofit_Ptdp</t>
  </si>
  <si>
    <t>Sofit_Pt</t>
  </si>
  <si>
    <t>Sofit_Sf</t>
  </si>
  <si>
    <t>Sofit_Q</t>
  </si>
  <si>
    <t>Sofit_Ql</t>
  </si>
  <si>
    <t>Sofit_Vel</t>
  </si>
  <si>
    <t>Sofit_Atl</t>
  </si>
  <si>
    <t>Sofit_Pur</t>
  </si>
  <si>
    <t>Sofit_Pdx</t>
  </si>
  <si>
    <t>Sofit_Pdxmatt</t>
  </si>
  <si>
    <t>Sofit_Dr</t>
  </si>
  <si>
    <t>Sofit_Sat</t>
  </si>
  <si>
    <t>Sofit_PEdp</t>
  </si>
  <si>
    <t>Sofit_Pe08</t>
  </si>
  <si>
    <t>Sofit_Pe07</t>
  </si>
  <si>
    <t>Sofit_Pe065</t>
  </si>
  <si>
    <t>Sofit_Pe045</t>
  </si>
  <si>
    <t>Sofit_Pe04</t>
  </si>
  <si>
    <t>Sofit_dachPr</t>
  </si>
  <si>
    <t>Sofit_dachSk</t>
  </si>
  <si>
    <t>Sofit_Ptdach</t>
  </si>
  <si>
    <t>Sofit_PtNN</t>
  </si>
  <si>
    <t xml:space="preserve">Двойной стоячий фальц/Profi </t>
  </si>
  <si>
    <t>Falz2_Ptdp</t>
  </si>
  <si>
    <t>Falz2_Pt</t>
  </si>
  <si>
    <t>Falz2_Sf</t>
  </si>
  <si>
    <t>Falz2_Q</t>
  </si>
  <si>
    <t>Falz2_Ql</t>
  </si>
  <si>
    <t>Falz2_Vel</t>
  </si>
  <si>
    <t>Falz2_Atl</t>
  </si>
  <si>
    <t>Falz2_Pur</t>
  </si>
  <si>
    <t>Falz2_Pdx</t>
  </si>
  <si>
    <t>Falz2_Pdxmatt</t>
  </si>
  <si>
    <t>Falz2_Dr</t>
  </si>
  <si>
    <t>Falz2_Sat</t>
  </si>
  <si>
    <t>Falz2_PEdp</t>
  </si>
  <si>
    <t>Falz2_Pe08</t>
  </si>
  <si>
    <t>Falz2_Pe07</t>
  </si>
  <si>
    <t>Falz2_Pe065</t>
  </si>
  <si>
    <t>Falz2_Pe045</t>
  </si>
  <si>
    <t>Falz2_Pe04</t>
  </si>
  <si>
    <t>Falz2_dachPr</t>
  </si>
  <si>
    <t>Falz2_dachSk</t>
  </si>
  <si>
    <t>Falz2_Zn035</t>
  </si>
  <si>
    <t>Falz2_Zn04</t>
  </si>
  <si>
    <t>Falz2_Zn045</t>
  </si>
  <si>
    <t>Falz2_Zn05</t>
  </si>
  <si>
    <t>Falz2_Zn055</t>
  </si>
  <si>
    <t>Falz2_Zn07</t>
  </si>
  <si>
    <t>Falz2_Zn08</t>
  </si>
  <si>
    <t>Falz2_Zn09</t>
  </si>
  <si>
    <t>Falz2_Ptdach</t>
  </si>
  <si>
    <t>Falz2_PtNN</t>
  </si>
  <si>
    <t>Кликфальц/Profi</t>
  </si>
  <si>
    <t>Klik_Ptdp</t>
  </si>
  <si>
    <t>Klik_Pt</t>
  </si>
  <si>
    <t>Klik_Sf</t>
  </si>
  <si>
    <t>Klik_Q</t>
  </si>
  <si>
    <t>Klik_Ql</t>
  </si>
  <si>
    <t>Klik_Vel</t>
  </si>
  <si>
    <t>Klik_Atl</t>
  </si>
  <si>
    <t>Klik_Pur</t>
  </si>
  <si>
    <t>Klik_Pdx</t>
  </si>
  <si>
    <t>Klik_Pdxmatt</t>
  </si>
  <si>
    <t>Klik_Dr</t>
  </si>
  <si>
    <t>Klik_Sat</t>
  </si>
  <si>
    <t>Klik_PEdp</t>
  </si>
  <si>
    <t>Klik_Pe08</t>
  </si>
  <si>
    <t>Klik_Pe07</t>
  </si>
  <si>
    <t>Klik_Pe065</t>
  </si>
  <si>
    <t>Klik_Pe045</t>
  </si>
  <si>
    <t>Klik_Pe04</t>
  </si>
  <si>
    <t>Klik_dachPr</t>
  </si>
  <si>
    <t>Klik_dachSk</t>
  </si>
  <si>
    <t>Klik_Zn035</t>
  </si>
  <si>
    <t>Klik_Zn04</t>
  </si>
  <si>
    <t>Klik_Zn045</t>
  </si>
  <si>
    <t>Klik_Zn05</t>
  </si>
  <si>
    <t>Klik_Zn055</t>
  </si>
  <si>
    <t>Klik_Zn07</t>
  </si>
  <si>
    <t>Klik_Zn08</t>
  </si>
  <si>
    <t>Klik_Zn09</t>
  </si>
  <si>
    <t>Klik_Ptdach</t>
  </si>
  <si>
    <t>Klik_PtNN</t>
  </si>
  <si>
    <t>Кликфальц Mini</t>
  </si>
  <si>
    <t>PnC8_Pt</t>
  </si>
  <si>
    <t>PnC8_Sf</t>
  </si>
  <si>
    <t>PnC8_Q</t>
  </si>
  <si>
    <t>PnC8_Ql</t>
  </si>
  <si>
    <t>PnC8_Vel</t>
  </si>
  <si>
    <t>PnC8_Atl</t>
  </si>
  <si>
    <t>PnC8_Pur</t>
  </si>
  <si>
    <t>PnC8_Pdx</t>
  </si>
  <si>
    <t>PnC8_Pdxmatt</t>
  </si>
  <si>
    <t>PnC8_Dr</t>
  </si>
  <si>
    <t>PnC8_Sat</t>
  </si>
  <si>
    <t>PnC8_PEdp</t>
  </si>
  <si>
    <t>PnC8_Pe08</t>
  </si>
  <si>
    <t>PnC8_Pe07</t>
  </si>
  <si>
    <t>PnC8_Pe065</t>
  </si>
  <si>
    <t>PnC8_Pe045</t>
  </si>
  <si>
    <t>PnC8_Pe04</t>
  </si>
  <si>
    <t>PnC8_dachPr</t>
  </si>
  <si>
    <t>PnC8_dachSk</t>
  </si>
  <si>
    <t>PnC8_Zn035</t>
  </si>
  <si>
    <t>PnC8_Zn04</t>
  </si>
  <si>
    <t>PnC8_Zn045</t>
  </si>
  <si>
    <t>PnC8_Zn05</t>
  </si>
  <si>
    <t>PnC8_Zn055</t>
  </si>
  <si>
    <t>PnC8_Zn07</t>
  </si>
  <si>
    <t>PnC8_Zn08</t>
  </si>
  <si>
    <t>PnC8_Zn09</t>
  </si>
  <si>
    <t>PnC8_Ptdach</t>
  </si>
  <si>
    <t>PnC8_PtNN</t>
  </si>
  <si>
    <t>PnC10_Pt</t>
  </si>
  <si>
    <t>PnC10_Sf</t>
  </si>
  <si>
    <t>PnC10_Q</t>
  </si>
  <si>
    <t>PnC10_Ql</t>
  </si>
  <si>
    <t>PnC10_Vel</t>
  </si>
  <si>
    <t>PnC10_Atl</t>
  </si>
  <si>
    <t>PnC10_Pur</t>
  </si>
  <si>
    <t>PnC10_Pdx</t>
  </si>
  <si>
    <t>PnC10_Pdxmatt</t>
  </si>
  <si>
    <t>PnC10_Dr</t>
  </si>
  <si>
    <t>PnC10_Sat</t>
  </si>
  <si>
    <t>PnC10_PEdp</t>
  </si>
  <si>
    <t>PnC10_Pe08</t>
  </si>
  <si>
    <t>PnC10_Pe07</t>
  </si>
  <si>
    <t>PnC10_Pe065</t>
  </si>
  <si>
    <t>PnC10_Pe045</t>
  </si>
  <si>
    <t>PnC10_Pe04</t>
  </si>
  <si>
    <t>PnC10_dachPr</t>
  </si>
  <si>
    <t>PnC10_dachSk</t>
  </si>
  <si>
    <t>PnC10_Zn035</t>
  </si>
  <si>
    <t>PnC10_Zn04</t>
  </si>
  <si>
    <t>PnC10_Zn045</t>
  </si>
  <si>
    <t>PnC10_Zn05</t>
  </si>
  <si>
    <t>PnC10_Zn055</t>
  </si>
  <si>
    <t>PnC10_Zn07</t>
  </si>
  <si>
    <t>PnC10_Zn08</t>
  </si>
  <si>
    <t>PnC10_Zn09</t>
  </si>
  <si>
    <t>PnC10_Ptdach</t>
  </si>
  <si>
    <t>PnC10_PtNN</t>
  </si>
  <si>
    <t>PnC10f_Pt</t>
  </si>
  <si>
    <t>PnC10f_Sf</t>
  </si>
  <si>
    <t>PnC10f_Q</t>
  </si>
  <si>
    <t>PnC10f_Ql</t>
  </si>
  <si>
    <t>PnC10f_Vel</t>
  </si>
  <si>
    <t>PnC10f_Atl</t>
  </si>
  <si>
    <t>PnC10f_Pur</t>
  </si>
  <si>
    <t>PnC10f_Pdx</t>
  </si>
  <si>
    <t>PnC10f_Pdxmatt</t>
  </si>
  <si>
    <t>PnC10f_Dr</t>
  </si>
  <si>
    <t>PnC10f_Sat</t>
  </si>
  <si>
    <t>PnC10f_PEdp</t>
  </si>
  <si>
    <t>PnC10f_Pe08</t>
  </si>
  <si>
    <t>PnC10f_Pe07</t>
  </si>
  <si>
    <t>PnC10f_Pe065</t>
  </si>
  <si>
    <t>PnC10f_Pe045</t>
  </si>
  <si>
    <t>PnC10f_Pe04</t>
  </si>
  <si>
    <t>PnC10f_dachPr</t>
  </si>
  <si>
    <t>PnC10f_dachSk</t>
  </si>
  <si>
    <t>PnC10f_Zn035</t>
  </si>
  <si>
    <t>PnC10f_Zn04</t>
  </si>
  <si>
    <t>PnC10f_Zn045</t>
  </si>
  <si>
    <t>PnC10f_Zn05</t>
  </si>
  <si>
    <t>PnC10f_Zn055</t>
  </si>
  <si>
    <t>PnC10f_Zn07</t>
  </si>
  <si>
    <t>PnC10f_Zn08</t>
  </si>
  <si>
    <t>PnC10f_Zn09</t>
  </si>
  <si>
    <t>PnC10f_Ptdach</t>
  </si>
  <si>
    <t>PnC10f_PtNN</t>
  </si>
  <si>
    <t>PnC20_Pt</t>
  </si>
  <si>
    <t>PnC20_Sf</t>
  </si>
  <si>
    <t>PnC20_Q</t>
  </si>
  <si>
    <t>PnC20_Ql</t>
  </si>
  <si>
    <t>PnC20_Vel</t>
  </si>
  <si>
    <t>PnC20_Atl</t>
  </si>
  <si>
    <t>PnC20_Pur</t>
  </si>
  <si>
    <t>PnC20_Pdx</t>
  </si>
  <si>
    <t>PnC20_Pdxmatt</t>
  </si>
  <si>
    <t>PnC20_Dr</t>
  </si>
  <si>
    <t>PnC20_Sat</t>
  </si>
  <si>
    <t>PnC20_PEdp</t>
  </si>
  <si>
    <t>PnC20_Pe08</t>
  </si>
  <si>
    <t>PnC20_Pe07</t>
  </si>
  <si>
    <t>PnC20_Pe065</t>
  </si>
  <si>
    <t>PnC20_Pe045</t>
  </si>
  <si>
    <t>PnC20_Pe04</t>
  </si>
  <si>
    <t>PnC20_dachPr</t>
  </si>
  <si>
    <t>PnC20_dachSk</t>
  </si>
  <si>
    <t>PnC20_Zn035</t>
  </si>
  <si>
    <t>PnC20_Zn04</t>
  </si>
  <si>
    <t>PnC20_Zn045</t>
  </si>
  <si>
    <t>PnC20_Zn05</t>
  </si>
  <si>
    <t>PnC20_Zn055</t>
  </si>
  <si>
    <t>PnC20_Zn07</t>
  </si>
  <si>
    <t>PnC20_Zn08</t>
  </si>
  <si>
    <t>PnC20_Zn09</t>
  </si>
  <si>
    <t>PnC20_Ptdach</t>
  </si>
  <si>
    <t>PnC20_PtNN</t>
  </si>
  <si>
    <t>PnC21_Pt</t>
  </si>
  <si>
    <t>PnC21_Sf</t>
  </si>
  <si>
    <t>PnC21_Q</t>
  </si>
  <si>
    <t>PnC21_Ql</t>
  </si>
  <si>
    <t>PnC21_Vel</t>
  </si>
  <si>
    <t>PnC21_Atl</t>
  </si>
  <si>
    <t>PnC21_Pur</t>
  </si>
  <si>
    <t>PnC21_Pdx</t>
  </si>
  <si>
    <t>PnC21_Pdxmatt</t>
  </si>
  <si>
    <t>PnC21_Dr</t>
  </si>
  <si>
    <t>PnC21_Sat</t>
  </si>
  <si>
    <t>PnC21_PEdp</t>
  </si>
  <si>
    <t>PnC21_Pe08</t>
  </si>
  <si>
    <t>PnC21_Pe07</t>
  </si>
  <si>
    <t>PnC21_Pe065</t>
  </si>
  <si>
    <t>PnC21_Pe045</t>
  </si>
  <si>
    <t>PnC21_Pe04</t>
  </si>
  <si>
    <t>PnC21_dachPr</t>
  </si>
  <si>
    <t>PnC21_dachSk</t>
  </si>
  <si>
    <t>PnC21_Zn035</t>
  </si>
  <si>
    <t>PnC21_Zn04</t>
  </si>
  <si>
    <t>PnC21_Zn045</t>
  </si>
  <si>
    <t>PnC21_Zn05</t>
  </si>
  <si>
    <t>PnC21_Zn055</t>
  </si>
  <si>
    <t>PnC21_Zn07</t>
  </si>
  <si>
    <t>PnC21_Zn08</t>
  </si>
  <si>
    <t>PnC21_Zn09</t>
  </si>
  <si>
    <t>PnC21_Ptdach</t>
  </si>
  <si>
    <t>PnC21_PtNN</t>
  </si>
  <si>
    <t>PnHC35_Pt</t>
  </si>
  <si>
    <t>PnHC35_Sf</t>
  </si>
  <si>
    <t>PnHC35_Q</t>
  </si>
  <si>
    <t>PnHC35_Ql</t>
  </si>
  <si>
    <t>PnHC35_Vel</t>
  </si>
  <si>
    <t>PnHC35_Atl</t>
  </si>
  <si>
    <t>PnHC35_Pur</t>
  </si>
  <si>
    <t>PnHC35_Pdx</t>
  </si>
  <si>
    <t>PnHC35_Pdxmatt</t>
  </si>
  <si>
    <t>PnHC35_Dr</t>
  </si>
  <si>
    <t>PnHC35_Sat</t>
  </si>
  <si>
    <t>PnHC35_PEdp</t>
  </si>
  <si>
    <t>PnHC35_Pe08</t>
  </si>
  <si>
    <t>PnHC35_Pe07</t>
  </si>
  <si>
    <t>PnHC35_Pe065</t>
  </si>
  <si>
    <t>PnHC35_Pe045</t>
  </si>
  <si>
    <t>PnHC35_Pe04</t>
  </si>
  <si>
    <t>PnHC35_dachPr</t>
  </si>
  <si>
    <t>PnHC35_dachSk</t>
  </si>
  <si>
    <t>PnHC35_Zn035</t>
  </si>
  <si>
    <t>PnHC35_Zn04</t>
  </si>
  <si>
    <t>PnHC35_Zn045</t>
  </si>
  <si>
    <t>PnHC35_Zn05</t>
  </si>
  <si>
    <t>PnHC35_Zn055</t>
  </si>
  <si>
    <t>PnHC35_Zn07</t>
  </si>
  <si>
    <t>PnHC35_Zn08</t>
  </si>
  <si>
    <t>PnHC35_Zn09</t>
  </si>
  <si>
    <t>PnHC35_Ptdach</t>
  </si>
  <si>
    <t>PnHC35_PtNN</t>
  </si>
  <si>
    <t>PnH60_Pt</t>
  </si>
  <si>
    <t>PnH60_Sf</t>
  </si>
  <si>
    <t>PnH60_Q</t>
  </si>
  <si>
    <t>PnH60_Ql</t>
  </si>
  <si>
    <t>PnH60_Vel</t>
  </si>
  <si>
    <t>PnH60_Atl</t>
  </si>
  <si>
    <t>PnH60_Pur</t>
  </si>
  <si>
    <t>PnH60_Pdx</t>
  </si>
  <si>
    <t>PnH60_Pdxmatt</t>
  </si>
  <si>
    <t>PnH60_Dr</t>
  </si>
  <si>
    <t>PnH60_Sat</t>
  </si>
  <si>
    <t>PnH60_PEdp</t>
  </si>
  <si>
    <t>PnH60_Pe08</t>
  </si>
  <si>
    <t>PnH60_Pe07</t>
  </si>
  <si>
    <t>PnH60_Pe065</t>
  </si>
  <si>
    <t>PnH60_Pe045</t>
  </si>
  <si>
    <t>PnH60_Pe04</t>
  </si>
  <si>
    <t>PnH60_dachPr</t>
  </si>
  <si>
    <t>PnH60_dachSk</t>
  </si>
  <si>
    <t>PnH60_Zn035</t>
  </si>
  <si>
    <t>PnH60_Zn04</t>
  </si>
  <si>
    <t>PnH60_Zn045</t>
  </si>
  <si>
    <t>PnH60_Zn05</t>
  </si>
  <si>
    <t>PnH60_Zn055</t>
  </si>
  <si>
    <t>PnH60_Zn07</t>
  </si>
  <si>
    <t>PnH60_Zn08</t>
  </si>
  <si>
    <t>PnH60_Zn09</t>
  </si>
  <si>
    <t>PnH60_Ptdach</t>
  </si>
  <si>
    <t>PnH60_PtNN</t>
  </si>
  <si>
    <t>PnH75_Pt</t>
  </si>
  <si>
    <t>PnH75_Sf</t>
  </si>
  <si>
    <t>PnH75_Q</t>
  </si>
  <si>
    <t>PnH75_Ql</t>
  </si>
  <si>
    <t>PnH75_Vel</t>
  </si>
  <si>
    <t>PnH75_Atl</t>
  </si>
  <si>
    <t>PnH75_Pur</t>
  </si>
  <si>
    <t>PnH75_Pdx</t>
  </si>
  <si>
    <t>PnH75_Pdxmatt</t>
  </si>
  <si>
    <t>PnH75_Dr</t>
  </si>
  <si>
    <t>PnH75_Sat</t>
  </si>
  <si>
    <t>PnH75_PEdp</t>
  </si>
  <si>
    <t>PnH75_Pe08</t>
  </si>
  <si>
    <t>PnH75_Pe07</t>
  </si>
  <si>
    <t>PnH75_Pe065</t>
  </si>
  <si>
    <t>PnH75_Pe045</t>
  </si>
  <si>
    <t>PnH75_Pe04</t>
  </si>
  <si>
    <t>PnH75_dachPr</t>
  </si>
  <si>
    <t>PnH75_dachSk</t>
  </si>
  <si>
    <t>PnH75_Zn035</t>
  </si>
  <si>
    <t>PnH75_Zn04</t>
  </si>
  <si>
    <t>PnH75_Zn045</t>
  </si>
  <si>
    <t>PnH75_Zn05</t>
  </si>
  <si>
    <t>PnH75_Zn055</t>
  </si>
  <si>
    <t>PnH75_Zn07</t>
  </si>
  <si>
    <t>PnH75_Zn08</t>
  </si>
  <si>
    <t>PnH75_Zn09</t>
  </si>
  <si>
    <t>PnH75_Ptdach</t>
  </si>
  <si>
    <t>PnH75_PtNN</t>
  </si>
  <si>
    <t>ShtripsFalz_Ptdp</t>
  </si>
  <si>
    <t>ShtripsFalz_Pt</t>
  </si>
  <si>
    <t>ShtripsFalz_Sf</t>
  </si>
  <si>
    <t>ShtripsFalz_Q</t>
  </si>
  <si>
    <t>ShtripsFalz_Ql</t>
  </si>
  <si>
    <t>ShtripsFalz_Vel</t>
  </si>
  <si>
    <t>ShtripsFalz_Atl</t>
  </si>
  <si>
    <t>ShtripsFalz_Pur</t>
  </si>
  <si>
    <t>ShtripsFalz_Pdx</t>
  </si>
  <si>
    <t>ShtripsFalz_Pdxmatt</t>
  </si>
  <si>
    <t>ShtripsFalz_Dr</t>
  </si>
  <si>
    <t>ShtripsFalz_Sat</t>
  </si>
  <si>
    <t>ShtripsFalz_PEdp</t>
  </si>
  <si>
    <t>ShtripsFalz_Pe08</t>
  </si>
  <si>
    <t>ShtripsFalz_Pe07</t>
  </si>
  <si>
    <t>ShtripsFalz_Pe065</t>
  </si>
  <si>
    <t>ShtripsFalz_Pe045</t>
  </si>
  <si>
    <t>ShtripsFalz_Pe04</t>
  </si>
  <si>
    <t>ShtripsFalz_dachPr</t>
  </si>
  <si>
    <t>ShtripsFalz_dachSk</t>
  </si>
  <si>
    <t>ShtripsFalz_Zn035</t>
  </si>
  <si>
    <t>ShtripsFalz_Zn04</t>
  </si>
  <si>
    <t>ShtripsFalz_Zn045</t>
  </si>
  <si>
    <t>ShtripsFalz_Zn05</t>
  </si>
  <si>
    <t>ShtripsFalz_Zn055</t>
  </si>
  <si>
    <t>ShtripsFalz_Zn07</t>
  </si>
  <si>
    <t>ShtripsFalz_Zn08</t>
  </si>
  <si>
    <t>ShtripsFalz_Zn09</t>
  </si>
  <si>
    <t>ShtripsFalz_Ptdach</t>
  </si>
  <si>
    <t>ShtripsFalz_PtNN</t>
  </si>
  <si>
    <t>Плоский лист
Штрипс
Отмотка</t>
  </si>
  <si>
    <t>List_Ptdp</t>
  </si>
  <si>
    <t>List_Pt</t>
  </si>
  <si>
    <t>List_Sf</t>
  </si>
  <si>
    <t>List_Q</t>
  </si>
  <si>
    <t>List_Ql</t>
  </si>
  <si>
    <t>List_Vel</t>
  </si>
  <si>
    <t>List_Atl</t>
  </si>
  <si>
    <t>List_Pur</t>
  </si>
  <si>
    <t>List_Pdx</t>
  </si>
  <si>
    <t>List_Pdxmatt</t>
  </si>
  <si>
    <t>List_Dr</t>
  </si>
  <si>
    <t>List_Sat</t>
  </si>
  <si>
    <t>List_PEdp</t>
  </si>
  <si>
    <t>List_Pe08</t>
  </si>
  <si>
    <t>List_Pe07</t>
  </si>
  <si>
    <t>List_Pe065</t>
  </si>
  <si>
    <t>List_Pe045</t>
  </si>
  <si>
    <t>List_Pe04</t>
  </si>
  <si>
    <t>List_dachPr</t>
  </si>
  <si>
    <t>List_dachSk</t>
  </si>
  <si>
    <t>List_Zn035</t>
  </si>
  <si>
    <t>List_Zn04</t>
  </si>
  <si>
    <t>List_Zn045</t>
  </si>
  <si>
    <t>List_Zn05</t>
  </si>
  <si>
    <t>List_Zn055</t>
  </si>
  <si>
    <t>List_Zn07</t>
  </si>
  <si>
    <t>List_Zn08</t>
  </si>
  <si>
    <t>List_Zn09</t>
  </si>
  <si>
    <t>List_Ptdach</t>
  </si>
  <si>
    <t>List_PtNN</t>
  </si>
  <si>
    <t>S_KDoska_Ptdp</t>
  </si>
  <si>
    <t>S_KDoska_Pt</t>
  </si>
  <si>
    <t>S_KDoska_Sf</t>
  </si>
  <si>
    <t>S_KDoska_Q</t>
  </si>
  <si>
    <t>S_KDoska_Ql</t>
  </si>
  <si>
    <t>S_KDoska_Vel</t>
  </si>
  <si>
    <t>S_KDoska_Atl</t>
  </si>
  <si>
    <t>S_KDoska_Pur</t>
  </si>
  <si>
    <t>S_KDoska_Pdx</t>
  </si>
  <si>
    <t>S_KDoska_Pdxmatt</t>
  </si>
  <si>
    <t>S_KDoska_Dr</t>
  </si>
  <si>
    <t>S_KDoska_Sat</t>
  </si>
  <si>
    <t>S_KDoska_PEdp</t>
  </si>
  <si>
    <t>S_KDoska_Pe08</t>
  </si>
  <si>
    <t>S_KDoska_Pe07</t>
  </si>
  <si>
    <t>S_KDoska_Pe065</t>
  </si>
  <si>
    <t>S_KDoska_Pe045</t>
  </si>
  <si>
    <t>S_KDoska_Pe04</t>
  </si>
  <si>
    <t>S_KDoska_dachPr</t>
  </si>
  <si>
    <t>S_KDoska_dachSk</t>
  </si>
  <si>
    <t>S_KDoska_Ptdach</t>
  </si>
  <si>
    <t>S_KDoska_PtNN</t>
  </si>
  <si>
    <t>S_Vertikal_Ptdp</t>
  </si>
  <si>
    <t>S_Vertikal_Pt</t>
  </si>
  <si>
    <t>S_Vertikal_Sf</t>
  </si>
  <si>
    <t>S_Vertikal_Q</t>
  </si>
  <si>
    <t>S_Vertikal_Ql</t>
  </si>
  <si>
    <t>S_Vertikal_Vel</t>
  </si>
  <si>
    <t>S_Vertikal_Atl</t>
  </si>
  <si>
    <t>S_Vertikal_Pur</t>
  </si>
  <si>
    <t>S_Vertikal_Pdx</t>
  </si>
  <si>
    <t>S_Vertikal_Pdxmatt</t>
  </si>
  <si>
    <t>S_Vertikal_Dr</t>
  </si>
  <si>
    <t>S_Vertikal_Sat</t>
  </si>
  <si>
    <t>S_Vertikal_PEdp</t>
  </si>
  <si>
    <t>S_Vertikal_Pe08</t>
  </si>
  <si>
    <t>S_Vertikal_Pe07</t>
  </si>
  <si>
    <t>S_Vertikal_Pe065</t>
  </si>
  <si>
    <t>S_Vertikal_Pe045</t>
  </si>
  <si>
    <t>S_Vertikal_Pe04</t>
  </si>
  <si>
    <t>S_Vertikal_dachPr</t>
  </si>
  <si>
    <t>S_Vertikal_dachSk</t>
  </si>
  <si>
    <t>S_Vertikal_Ptdach</t>
  </si>
  <si>
    <t>S_Vertikal_PtNN</t>
  </si>
  <si>
    <t>S_EBrus_Ptdp</t>
  </si>
  <si>
    <t>S_EBrus_Pt</t>
  </si>
  <si>
    <t>S_EBrus_Sf</t>
  </si>
  <si>
    <t>S_EBrus_Q</t>
  </si>
  <si>
    <t>S_EBrus_Ql</t>
  </si>
  <si>
    <t>S_EBrus_Vel</t>
  </si>
  <si>
    <t>S_EBrus_Atl</t>
  </si>
  <si>
    <t>S_EBrus_Pur</t>
  </si>
  <si>
    <t>S_EBrus_Pdx</t>
  </si>
  <si>
    <t>S_EBrus_Pdxmatt</t>
  </si>
  <si>
    <t>S_EBrus_Dr</t>
  </si>
  <si>
    <t>S_EBrus_Sat</t>
  </si>
  <si>
    <t>S_EBrus_PEdp</t>
  </si>
  <si>
    <t>S_EBrus_Pe08</t>
  </si>
  <si>
    <t>S_EBrus_Pe07</t>
  </si>
  <si>
    <t>S_EBrus_Pe065</t>
  </si>
  <si>
    <t>S_EBrus_Pe045</t>
  </si>
  <si>
    <t>S_EBrus_Pe04</t>
  </si>
  <si>
    <t>S_EBrus_dachPr</t>
  </si>
  <si>
    <t>S_EBrus_dachSk</t>
  </si>
  <si>
    <t>S_EBrus_Ptdach</t>
  </si>
  <si>
    <t>S_EBrus_PtNN</t>
  </si>
  <si>
    <t>Блок-хаус</t>
  </si>
  <si>
    <t>S_BHaus_Ptdp</t>
  </si>
  <si>
    <t>S_BHaus_Pt</t>
  </si>
  <si>
    <t>S_BHaus_Sf</t>
  </si>
  <si>
    <t>S_BHaus_Q</t>
  </si>
  <si>
    <t>S_BHaus_Ql</t>
  </si>
  <si>
    <t>S_BHaus_Vel</t>
  </si>
  <si>
    <t>S_BHaus_Atl</t>
  </si>
  <si>
    <t>S_BHaus_Pur</t>
  </si>
  <si>
    <t>S_BHaus_Pdx</t>
  </si>
  <si>
    <t>S_BHaus_Pdxmatt</t>
  </si>
  <si>
    <t>S_BHaus_Dr</t>
  </si>
  <si>
    <t>S_BHaus_Sat</t>
  </si>
  <si>
    <t>S_BHaus_PEdp</t>
  </si>
  <si>
    <t>S_BHaus_Pe08</t>
  </si>
  <si>
    <t>S_BHaus_Pe07</t>
  </si>
  <si>
    <t>S_BHaus_Pe065</t>
  </si>
  <si>
    <t>S_BHaus_Pe045</t>
  </si>
  <si>
    <t>S_BHaus_Pe04</t>
  </si>
  <si>
    <t>S_BHaus_dachPr</t>
  </si>
  <si>
    <t>S_BHaus_dachSk</t>
  </si>
  <si>
    <t>S_BHaus_Ptdach</t>
  </si>
  <si>
    <t>S_BHaus_PtNN</t>
  </si>
  <si>
    <t>S_BHausNew_Ptdp</t>
  </si>
  <si>
    <t>S_BHausNew_Pt</t>
  </si>
  <si>
    <t>S_BHausNew_Sf</t>
  </si>
  <si>
    <t>S_BHausNew_Q</t>
  </si>
  <si>
    <t>S_BHausNew_Ql</t>
  </si>
  <si>
    <t>S_BHausNew_Vel</t>
  </si>
  <si>
    <t>S_BHausNew_Atl</t>
  </si>
  <si>
    <t>S_BHausNew_Pur</t>
  </si>
  <si>
    <t>S_BHausNew_Pdx</t>
  </si>
  <si>
    <t>S_BHausNew_Pdxmatt</t>
  </si>
  <si>
    <t>S_BHausNew_Dr</t>
  </si>
  <si>
    <t>S_BHausNew_Sat</t>
  </si>
  <si>
    <t>S_BHausNew_PEdp</t>
  </si>
  <si>
    <t>S_BHausNew_Pe08</t>
  </si>
  <si>
    <t>S_BHausNew_Pe07</t>
  </si>
  <si>
    <t>S_BHausNew_Pe065</t>
  </si>
  <si>
    <t>S_BHausNew_Pe045</t>
  </si>
  <si>
    <t>S_BHausNew_Pe04</t>
  </si>
  <si>
    <t>S_BHausNew_dachPr</t>
  </si>
  <si>
    <t>S_BHausNew_dachSk</t>
  </si>
  <si>
    <t>S_BHausNew_Ptdach</t>
  </si>
  <si>
    <t>S_BHausNew_PtNN</t>
  </si>
  <si>
    <t>Shtaket_MP_Ptdp</t>
  </si>
  <si>
    <t>Shtaket_MP_Pt</t>
  </si>
  <si>
    <t>Shtaket_MP_Sf</t>
  </si>
  <si>
    <t>Shtaket_MP_Q</t>
  </si>
  <si>
    <t>Shtaket_MP_Ql</t>
  </si>
  <si>
    <t>Shtaket_MP_Vel</t>
  </si>
  <si>
    <t>Shtaket_MP_Atl</t>
  </si>
  <si>
    <t>Shtaket_MP_Pur</t>
  </si>
  <si>
    <t>Shtaket_MP_Pdx</t>
  </si>
  <si>
    <t>Shtaket_MP_Pdxmatt</t>
  </si>
  <si>
    <t>Shtaket_MP_Dr</t>
  </si>
  <si>
    <t>Shtaket_MP_Sat</t>
  </si>
  <si>
    <t>Shtaket_MP_PEdp</t>
  </si>
  <si>
    <t>Shtaket_MP_Pe08</t>
  </si>
  <si>
    <t>Shtaket_MP_Pe07</t>
  </si>
  <si>
    <t>Shtaket_MP_Pe065</t>
  </si>
  <si>
    <t>Shtaket_MP_Pe045</t>
  </si>
  <si>
    <t>Shtaket_MP_Pe04</t>
  </si>
  <si>
    <t>Shtaket_MP_dachPr</t>
  </si>
  <si>
    <t>Shtaket_MP_dachSk</t>
  </si>
  <si>
    <t>Shtaket_MP_Ptdach</t>
  </si>
  <si>
    <t>Shtaket_MP_PtNN</t>
  </si>
  <si>
    <t>Shtaket_MPf_Ptdp</t>
  </si>
  <si>
    <t>Shtaket_MPf_Pt</t>
  </si>
  <si>
    <t>Shtaket_MPf_Sf</t>
  </si>
  <si>
    <t>Shtaket_MPf_Q</t>
  </si>
  <si>
    <t>Shtaket_MPf_Ql</t>
  </si>
  <si>
    <t>Shtaket_MPf_Vel</t>
  </si>
  <si>
    <t>Shtaket_MPf_Atl</t>
  </si>
  <si>
    <t>Shtaket_MPf_Pur</t>
  </si>
  <si>
    <t>Shtaket_MPf_Pdx</t>
  </si>
  <si>
    <t>Shtaket_MPf_Pdxmatt</t>
  </si>
  <si>
    <t>Shtaket_MPf_Dr</t>
  </si>
  <si>
    <t>Shtaket_MPf_Sat</t>
  </si>
  <si>
    <t>Shtaket_MPf_PEdp</t>
  </si>
  <si>
    <t>Shtaket_MPf_Pe08</t>
  </si>
  <si>
    <t>Shtaket_MPf_Pe07</t>
  </si>
  <si>
    <t>Shtaket_MPf_Pe065</t>
  </si>
  <si>
    <t>Shtaket_MPf_Pe045</t>
  </si>
  <si>
    <t>Shtaket_MPf_Pe04</t>
  </si>
  <si>
    <t>Shtaket_MPf_dachPr</t>
  </si>
  <si>
    <t>Shtaket_MPf_dachSk</t>
  </si>
  <si>
    <t>Shtaket_MPf_Ptdach</t>
  </si>
  <si>
    <t>Shtaket_MPf_PtNN</t>
  </si>
  <si>
    <t>Shtaket_Kr_Ptdp</t>
  </si>
  <si>
    <t>Shtaket_Kr_Pt</t>
  </si>
  <si>
    <t>Shtaket_Kr_Sf</t>
  </si>
  <si>
    <t>Shtaket_Kr_Q</t>
  </si>
  <si>
    <t>Shtaket_Kr_Ql</t>
  </si>
  <si>
    <t>Shtaket_Kr_Vel</t>
  </si>
  <si>
    <t>Shtaket_Kr_Atl</t>
  </si>
  <si>
    <t>Shtaket_Kr_Pur</t>
  </si>
  <si>
    <t>Shtaket_Kr_Pdx</t>
  </si>
  <si>
    <t>Shtaket_Kr_Pdxmatt</t>
  </si>
  <si>
    <t>Shtaket_Kr_Dr</t>
  </si>
  <si>
    <t>Shtaket_Kr_Sat</t>
  </si>
  <si>
    <t>Shtaket_Kr_PEdp</t>
  </si>
  <si>
    <t>Shtaket_Kr_Pe08</t>
  </si>
  <si>
    <t>Shtaket_Kr_Pe07</t>
  </si>
  <si>
    <t>Shtaket_Kr_Pe065</t>
  </si>
  <si>
    <t>Shtaket_Kr_Pe045</t>
  </si>
  <si>
    <t>Shtaket_Kr_Pe04</t>
  </si>
  <si>
    <t>Shtaket_Kr_dachPr</t>
  </si>
  <si>
    <t>Shtaket_Kr_dachSk</t>
  </si>
  <si>
    <t>Shtaket_Kr_Ptdach</t>
  </si>
  <si>
    <t>Shtaket_Kr_PtNN</t>
  </si>
  <si>
    <t>Shtaket_Pr_Ptdp</t>
  </si>
  <si>
    <t>Shtaket_Pr_Pt</t>
  </si>
  <si>
    <t>Shtaket_Pr_Sf</t>
  </si>
  <si>
    <t>Shtaket_Pr_Q</t>
  </si>
  <si>
    <t>Shtaket_Pr_Ql</t>
  </si>
  <si>
    <t>Shtaket_Pr_Vel</t>
  </si>
  <si>
    <t>Shtaket_Pr_Atl</t>
  </si>
  <si>
    <t>Shtaket_Pr_Pur</t>
  </si>
  <si>
    <t>Shtaket_Pr_Pdx</t>
  </si>
  <si>
    <t>Shtaket_Pr_Pdxmatt</t>
  </si>
  <si>
    <t>Shtaket_Pr_Dr</t>
  </si>
  <si>
    <t>Shtaket_Pr_Sat</t>
  </si>
  <si>
    <t>Shtaket_Pr_PEdp</t>
  </si>
  <si>
    <t>Shtaket_Pr_Pe08</t>
  </si>
  <si>
    <t>Shtaket_Pr_Pe07</t>
  </si>
  <si>
    <t>Shtaket_Pr_Pe065</t>
  </si>
  <si>
    <t>Shtaket_Pr_Pe045</t>
  </si>
  <si>
    <t>Shtaket_Pr_Pe04</t>
  </si>
  <si>
    <t>Shtaket_Pr_dachPr</t>
  </si>
  <si>
    <t>Shtaket_Pr_dachSk</t>
  </si>
  <si>
    <t>Shtaket_Pr_Ptdach</t>
  </si>
  <si>
    <t>Shtaket_Pr_PtNN</t>
  </si>
  <si>
    <t>Shtaket_Krf_Ptdp</t>
  </si>
  <si>
    <t>Shtaket_Krf_Pt</t>
  </si>
  <si>
    <t>Shtaket_Krf_Sf</t>
  </si>
  <si>
    <t>Shtaket_Krf_Q</t>
  </si>
  <si>
    <t>Shtaket_Krf_Ql</t>
  </si>
  <si>
    <t>Shtaket_Krf_Vel</t>
  </si>
  <si>
    <t>Shtaket_Krf_Atl</t>
  </si>
  <si>
    <t>Shtaket_Krf_Pur</t>
  </si>
  <si>
    <t>Shtaket_Krf_Pdx</t>
  </si>
  <si>
    <t>Shtaket_Krf_Pdxmatt</t>
  </si>
  <si>
    <t>Shtaket_Krf_Dr</t>
  </si>
  <si>
    <t>Shtaket_Krf_Sat</t>
  </si>
  <si>
    <t>Shtaket_Krf_PEdp</t>
  </si>
  <si>
    <t>Shtaket_Krf_Pe08</t>
  </si>
  <si>
    <t>Shtaket_Krf_Pe07</t>
  </si>
  <si>
    <t>Shtaket_Krf_Pe065</t>
  </si>
  <si>
    <t>Shtaket_Krf_Pe045</t>
  </si>
  <si>
    <t>Shtaket_Krf_Pe04</t>
  </si>
  <si>
    <t>Shtaket_Krf_dachPr</t>
  </si>
  <si>
    <t>Shtaket_Krf_dachSk</t>
  </si>
  <si>
    <t>Shtaket_Krf_Ptdach</t>
  </si>
  <si>
    <t>Shtaket_Krf_PtNN</t>
  </si>
  <si>
    <t>Shtaket_Prf_Ptdp</t>
  </si>
  <si>
    <t>Shtaket_Prf_Pt</t>
  </si>
  <si>
    <t>Shtaket_Prf_Sf</t>
  </si>
  <si>
    <t>Shtaket_Prf_Q</t>
  </si>
  <si>
    <t>Shtaket_Prf_Ql</t>
  </si>
  <si>
    <t>Shtaket_Prf_Vel</t>
  </si>
  <si>
    <t>Shtaket_Prf_Atl</t>
  </si>
  <si>
    <t>Shtaket_Prf_Pur</t>
  </si>
  <si>
    <t>Shtaket_Prf_Pdx</t>
  </si>
  <si>
    <t>Shtaket_Prf_Pdxmatt</t>
  </si>
  <si>
    <t>Shtaket_Prf_Dr</t>
  </si>
  <si>
    <t>Shtaket_Prf_Sat</t>
  </si>
  <si>
    <t>Shtaket_Prf_PEdp</t>
  </si>
  <si>
    <t>Shtaket_Prf_Pe08</t>
  </si>
  <si>
    <t>Shtaket_Prf_Pe07</t>
  </si>
  <si>
    <t>Shtaket_Prf_Pe065</t>
  </si>
  <si>
    <t>Shtaket_Prf_Pe045</t>
  </si>
  <si>
    <t>Shtaket_Prf_Pe04</t>
  </si>
  <si>
    <t>Shtaket_Prf_dachPr</t>
  </si>
  <si>
    <t>Shtaket_Prf_dachSk</t>
  </si>
  <si>
    <t>Shtaket_Prf_Ptdach</t>
  </si>
  <si>
    <t>Shtaket_Prf_PtNN</t>
  </si>
  <si>
    <t>Klik_mini_Ptdp</t>
  </si>
  <si>
    <t>Klik_mini_Pt</t>
  </si>
  <si>
    <t>Klik_mini_Sf</t>
  </si>
  <si>
    <t>Klik_mini_Q</t>
  </si>
  <si>
    <t>Klik_mini_Ql</t>
  </si>
  <si>
    <t>Klik_mini_Vel</t>
  </si>
  <si>
    <t>Klik_mini_Atl</t>
  </si>
  <si>
    <t>Klik_mini_Pur</t>
  </si>
  <si>
    <t>Klik_mini_Pdx</t>
  </si>
  <si>
    <t>Klik_mini_Pdxmatt</t>
  </si>
  <si>
    <t>Klik_mini_Dr</t>
  </si>
  <si>
    <t>Klik_mini_Sat</t>
  </si>
  <si>
    <t>Klik_mini_PEdp</t>
  </si>
  <si>
    <t>Klik_mini_Pe08</t>
  </si>
  <si>
    <t>Klik_mini_Pe07</t>
  </si>
  <si>
    <t>Klik_mini_Pe065</t>
  </si>
  <si>
    <t>Klik_mini_Pe045</t>
  </si>
  <si>
    <t>Klik_mini_Pe04</t>
  </si>
  <si>
    <t>Klik_mini_dachPr</t>
  </si>
  <si>
    <t>Klik_mini_dachSk</t>
  </si>
  <si>
    <t>Klik_mini_Zn035</t>
  </si>
  <si>
    <t>Klik_mini_Zn04</t>
  </si>
  <si>
    <t>Klik_mini_Zn045</t>
  </si>
  <si>
    <t>Klik_mini_Zn05</t>
  </si>
  <si>
    <t>Klik_mini_Zn055</t>
  </si>
  <si>
    <t>Klik_mini_Zn07</t>
  </si>
  <si>
    <t>Klik_mini_Zn08</t>
  </si>
  <si>
    <t>Klik_mini_Zn09</t>
  </si>
  <si>
    <t>Klik_mini_Ptdach</t>
  </si>
  <si>
    <t>Klik_mini_PtNN</t>
  </si>
  <si>
    <t>PnC8_Ptdp</t>
  </si>
  <si>
    <t>PnC10_Ptdp</t>
  </si>
  <si>
    <t>PnC10f_Ptdp</t>
  </si>
  <si>
    <t>PnC20_Ptdp</t>
  </si>
  <si>
    <t>PnC21_Ptdp</t>
  </si>
  <si>
    <t>PnHC35_Ptdp</t>
  </si>
  <si>
    <t>PnH60_Ptdp</t>
  </si>
  <si>
    <t>PnH75_Ptdp</t>
  </si>
  <si>
    <t>ClassicPl_Pdxmatt</t>
  </si>
  <si>
    <r>
      <rPr>
        <b/>
        <sz val="10"/>
        <color indexed="8"/>
        <rFont val="Arial Cyr"/>
        <charset val="204"/>
      </rPr>
      <t>Цены:</t>
    </r>
    <r>
      <rPr>
        <sz val="10"/>
        <color indexed="8"/>
        <rFont val="Arial Cyr"/>
        <charset val="204"/>
      </rPr>
      <t xml:space="preserve"> профилированная продукция в покрытие Pe 0,4 (в.п. 1.1, 1.2, 1.3, 3.1, 4.1), OSB (1.4, 1.5). </t>
    </r>
    <r>
      <rPr>
        <b/>
        <sz val="10"/>
        <color indexed="8"/>
        <rFont val="Arial Cyr"/>
        <charset val="204"/>
      </rPr>
      <t>Иное:</t>
    </r>
    <r>
      <rPr>
        <sz val="10"/>
        <color indexed="8"/>
        <rFont val="Arial Cyr"/>
        <charset val="204"/>
      </rPr>
      <t xml:space="preserve"> добавлена пометка "Optima" у ряда элементов панельных ограждений (4.2, 4.3, 4.5)</t>
    </r>
  </si>
  <si>
    <t>(2) цены отличаются в зависимости от склада отгрузки</t>
  </si>
  <si>
    <t xml:space="preserve">(1) цены отличаются в зависимости от склада отгрузки. </t>
  </si>
  <si>
    <t>янтарь, бронза, графит, железо, серебро</t>
  </si>
  <si>
    <t>4.2. Панельные ограждения Grand Line® и Optima</t>
  </si>
  <si>
    <t>Цена
за 1 панель, руб/шт.</t>
  </si>
  <si>
    <t>Панельные ограждения Optima</t>
  </si>
  <si>
    <t>Панель LIGHT
С ПОЛИМЕРНЫМ ПОКРЫТИЕМ 
ячейка основная 200*55 мм  
диаметр прутка 3,5 мм</t>
  </si>
  <si>
    <t>Панельные ограждения Grand Line®</t>
  </si>
  <si>
    <t>Панель MEDIUM
С ПОЛИМЕРНЫМ ПОКРЫТИЕМ
ячейка основная  200х55 мм
диаметр прутка  4 мм</t>
  </si>
  <si>
    <t>Панель PROFI
С ПОЛИМЕРНЫМ ПОКРЫТИЕМ 
ячейка основная 200х55 мм 
диаметр прутка 5 мм</t>
  </si>
  <si>
    <t>Панель BASTION 5/6
ЦИНК
ячейка 200х55 мм диаметр прутка вертикального 4,8мм диаметр прутка горизонтального 5,8мм</t>
  </si>
  <si>
    <t>Панель BASTION 5/6
С ПОЛИМЕРНЫМ ПОКРЫТИЕМ
ячейка 200х55 мм диаметр прутка вертикального 5мм 
диаметр прутка горизонтального 6 мм</t>
  </si>
  <si>
    <t>4.3. Элементы панельных ограждений Grand Line® и Optima</t>
  </si>
  <si>
    <t>Элементы панельных ограждений Optima</t>
  </si>
  <si>
    <t>Элементы панельных ограждений Grand Line®</t>
  </si>
  <si>
    <t xml:space="preserve">Столб оцинкованный                                                                                                                                                                                                                                                                            с полимерным покрытием                                                                                                                                                                                                                                                                                с заглушкой                                                                                                                                                                                                                               </t>
  </si>
  <si>
    <t xml:space="preserve">Столб оцинкованный                                                                                                                                                                                                                                                                            с полимерным покрытием                                                                                                                                                                                                                                                                                с отверстиями                                                                                                                                                                                                                                                                                     и заглушкой </t>
  </si>
  <si>
    <r>
      <t>Крепление скоба (саморез 5,5*32)</t>
    </r>
    <r>
      <rPr>
        <b/>
        <sz val="10"/>
        <rFont val="Arial Cyr"/>
        <charset val="204"/>
      </rPr>
      <t xml:space="preserve">
</t>
    </r>
    <r>
      <rPr>
        <sz val="10"/>
        <rFont val="Arial Cyr"/>
        <charset val="204"/>
      </rPr>
      <t>саморез оцинкованный, неокрашенный</t>
    </r>
    <r>
      <rPr>
        <b/>
        <sz val="10"/>
        <rFont val="Arial Cyr"/>
        <charset val="204"/>
      </rPr>
      <t xml:space="preserve">
</t>
    </r>
  </si>
  <si>
    <t xml:space="preserve">Крепление скоба Medium винт М6х30 </t>
  </si>
  <si>
    <t>с полимерным покрытием</t>
  </si>
  <si>
    <t>Наконечник L Medium</t>
  </si>
  <si>
    <t>Наконечник V Medium</t>
  </si>
  <si>
    <r>
      <t>Крепление хомут 60x40 мм</t>
    </r>
    <r>
      <rPr>
        <b/>
        <sz val="14"/>
        <rFont val="Arial"/>
        <family val="2"/>
        <charset val="204"/>
      </rPr>
      <t xml:space="preserve"> </t>
    </r>
    <r>
      <rPr>
        <sz val="10"/>
        <rFont val="Arial"/>
        <family val="2"/>
        <charset val="204"/>
      </rPr>
      <t>(укомплектовано антивандальными гайками М6)</t>
    </r>
  </si>
  <si>
    <t>25 х 123 мм</t>
  </si>
  <si>
    <t>Наконечник для уличного освещения</t>
  </si>
  <si>
    <t xml:space="preserve">Струна для крепления СББ/ПББ оцинкованная d струны 2,5 мм </t>
  </si>
  <si>
    <t>Рулонные сетки Optima</t>
  </si>
  <si>
    <r>
      <t>Сетка сварная 
MRT Jarditor Mesh-Brico</t>
    </r>
    <r>
      <rPr>
        <b/>
        <sz val="10"/>
        <rFont val="Arial Cyr"/>
        <charset val="204"/>
      </rPr>
      <t xml:space="preserve">
Сетка сварная 
Europlast </t>
    </r>
  </si>
  <si>
    <t>КНАУФ Akusti</t>
  </si>
  <si>
    <t>4.2. Панельные ограждения</t>
  </si>
  <si>
    <t>4.3. Элементы панельных ограждений</t>
  </si>
  <si>
    <r>
      <rPr>
        <b/>
        <sz val="10"/>
        <color indexed="8"/>
        <rFont val="Arial Cyr"/>
        <charset val="204"/>
      </rPr>
      <t xml:space="preserve">Цены: </t>
    </r>
    <r>
      <rPr>
        <sz val="10"/>
        <color indexed="8"/>
        <rFont val="Arial Cyr"/>
        <charset val="204"/>
      </rPr>
      <t xml:space="preserve">мягкая черепица SHINGLAS (1.4), кровельная вентиляция ТехноНИКОЛЬ (1.18), фасадная плитка Hauberk (3.5), гидро- и пароиляционные материалы Delta (5.1), утеплитель ROCKWOOL (5.3), Воронеж - профили для гипсокартона (3.7). </t>
    </r>
    <r>
      <rPr>
        <b/>
        <sz val="10"/>
        <color indexed="8"/>
        <rFont val="Arial Cyr"/>
        <charset val="204"/>
      </rPr>
      <t>Иное:</t>
    </r>
    <r>
      <rPr>
        <sz val="10"/>
        <color indexed="8"/>
        <rFont val="Arial Cyr"/>
        <charset val="204"/>
      </rPr>
      <t xml:space="preserve"> панельные ограждения разделены на Optima и Grand Line (4.2, 4.3, 4.5)</t>
    </r>
  </si>
  <si>
    <t>Стальной Бархат</t>
  </si>
  <si>
    <t>KvintaPl_StBarhat</t>
  </si>
  <si>
    <t>Kamea_StBarhat</t>
  </si>
  <si>
    <t>Kredo_StBarhat</t>
  </si>
  <si>
    <t>Classic_StBarhat</t>
  </si>
  <si>
    <t>ClassicPl_StBarhat</t>
  </si>
  <si>
    <t>Modern_StBarhat</t>
  </si>
  <si>
    <t>Sofit_StBarhat</t>
  </si>
  <si>
    <t>Falz2_StBarhat</t>
  </si>
  <si>
    <t>Klik_StBarhat</t>
  </si>
  <si>
    <t>Klik_mini_StBarhat</t>
  </si>
  <si>
    <t>PnC8_StBarhat</t>
  </si>
  <si>
    <t>PnC10_StBarhat</t>
  </si>
  <si>
    <t>PnC10f_StBarhat</t>
  </si>
  <si>
    <t>PnC20_StBarhat</t>
  </si>
  <si>
    <t>PnC21_StBarhat</t>
  </si>
  <si>
    <t>PnHC35_StBarhat</t>
  </si>
  <si>
    <t>PnH60_StBarhat</t>
  </si>
  <si>
    <t>PnH75_StBarhat</t>
  </si>
  <si>
    <t>ShtripsFalz_StBarhat</t>
  </si>
  <si>
    <t>List_StBarhat</t>
  </si>
  <si>
    <t>S_KDoska_StBarhat</t>
  </si>
  <si>
    <t>S_Vertikal_StBarhat</t>
  </si>
  <si>
    <t>S_EBrus_StBarhat</t>
  </si>
  <si>
    <t>S_BHaus_StBarhat</t>
  </si>
  <si>
    <t>S_BHausNew_StBarhat</t>
  </si>
  <si>
    <t>Shtaket_MP_StBarhat</t>
  </si>
  <si>
    <t>Shtaket_MPf_StBarhat</t>
  </si>
  <si>
    <t>Shtaket_Kr_StBarhat</t>
  </si>
  <si>
    <t>Shtaket_Pr_StBarhat</t>
  </si>
  <si>
    <t>Shtaket_Krf_StBarhat</t>
  </si>
  <si>
    <t>Shtaket_Prf_StBarhat</t>
  </si>
  <si>
    <r>
      <t xml:space="preserve">Стальной Бархат </t>
    </r>
    <r>
      <rPr>
        <b/>
        <sz val="10"/>
        <color indexed="10"/>
        <rFont val="Arial Cyr"/>
        <charset val="204"/>
      </rPr>
      <t>NEW</t>
    </r>
  </si>
  <si>
    <t>Zn 180</t>
  </si>
  <si>
    <t>0,5/25-30</t>
  </si>
  <si>
    <t>Дымник на трубу - изготавливаются под размер заказчика. 
Подробный расчет в зависимости от размера в разделе 1.25 "Дымники и колпаки под заказ".</t>
  </si>
  <si>
    <r>
      <t xml:space="preserve">Стальной Бархат </t>
    </r>
    <r>
      <rPr>
        <b/>
        <sz val="10"/>
        <color indexed="10"/>
        <rFont val="Arial Cyr"/>
        <charset val="204"/>
      </rPr>
      <t>NEW</t>
    </r>
  </si>
  <si>
    <t>Внимание! Дымники не предназначены для установки и эксплуатации в условиях при которых воздушные потоки могут достигать скорости 15 и более метров в секунду.</t>
  </si>
  <si>
    <t>GreenCoat Pural,
Pural Matt (6)</t>
  </si>
  <si>
    <t xml:space="preserve">GreenCoat Pural, 
Pural Matt </t>
  </si>
  <si>
    <t>Шумоизолирующая лента под фальц (0,15 х 24 м)</t>
  </si>
  <si>
    <r>
      <t xml:space="preserve">Стальной Бархат </t>
    </r>
    <r>
      <rPr>
        <b/>
        <sz val="10"/>
        <color indexed="10"/>
        <rFont val="Arial Cyr"/>
        <charset val="204"/>
      </rPr>
      <t>NEW</t>
    </r>
  </si>
  <si>
    <t>Срок изготов-я</t>
  </si>
  <si>
    <t>Планка приемная оконная</t>
  </si>
  <si>
    <t xml:space="preserve"> 3.1, 3.4, 5.2</t>
  </si>
  <si>
    <t>Планка П-образная (Блок-хаус)</t>
  </si>
  <si>
    <t>Планка стартово-финишная (Блок-хаус)</t>
  </si>
  <si>
    <t>Планка П-образная (Блок-хаус New)</t>
  </si>
  <si>
    <t>Планка стартовая (Блок-хаус New)</t>
  </si>
  <si>
    <t>Планка Н-образная (Блок-хаус New)</t>
  </si>
  <si>
    <t>Планка угла внутреннего сложного (Блок-хаус New)</t>
  </si>
  <si>
    <t>Планка угла внешнего сложного (Блок-хаус New)</t>
  </si>
  <si>
    <t>Планка финишная (Блок-хаус New)</t>
  </si>
  <si>
    <t>Околооконная планка сложная 200х50 (Блок-хаус New)</t>
  </si>
  <si>
    <t>Околооконная планка сложная 200х75 (Блок-хаус New)</t>
  </si>
  <si>
    <t>Околооконная планка сложная 250х50 (Блок-хаус New)</t>
  </si>
  <si>
    <t>Околооконная планка сложная 250х75 (Блок-хаус New)</t>
  </si>
  <si>
    <t>Планка П-образная (ЭкоБрус)</t>
  </si>
  <si>
    <t>Планка стартово-финишная (ЭкоБрус)</t>
  </si>
  <si>
    <t>Планка Н-образная (ЭкоБрус)</t>
  </si>
  <si>
    <t>Планка угла внешнего сложного (ЭкоБрус)</t>
  </si>
  <si>
    <t>Планка угла внутреннего сложного (ЭкоБрус)</t>
  </si>
  <si>
    <t>Доборные элементы для сайдинга Корабельная доска, Вертикаль, ЭкоБрус, Блок-хаус, Блок-хаус New</t>
  </si>
  <si>
    <t>Доборные элементы для сайдинга ЭкоБрус и Блок-хаус</t>
  </si>
  <si>
    <t>Доборные элементы ЭкоБрус</t>
  </si>
  <si>
    <t>Доборные элементы Блок-хаус New</t>
  </si>
  <si>
    <t>Доборные элементы Блок-хаус (Нижний-Новгород, Воронеж)</t>
  </si>
  <si>
    <t>Доборные элементы сайдинга Корабельная доска и Вертикаль</t>
  </si>
  <si>
    <t>Ширина заго- товки, мм</t>
  </si>
  <si>
    <r>
      <t xml:space="preserve">Стальной Бархат </t>
    </r>
    <r>
      <rPr>
        <b/>
        <sz val="10"/>
        <color indexed="10"/>
        <rFont val="Arial Cyr"/>
        <charset val="204"/>
      </rPr>
      <t>NEW</t>
    </r>
  </si>
  <si>
    <t>ОСНОВНОЙ</t>
  </si>
  <si>
    <t>КРАСНОДАР</t>
  </si>
  <si>
    <t>Kvinta plus - Краснодар</t>
  </si>
  <si>
    <t>KvintaPl_K_Ptdp</t>
  </si>
  <si>
    <t>KvintaPl_K_Pt</t>
  </si>
  <si>
    <t>KvintaPl_K_Sf</t>
  </si>
  <si>
    <t>KvintaPl_K_Q</t>
  </si>
  <si>
    <t>KvintaPl_K_Ql</t>
  </si>
  <si>
    <t>KvintaPl_K_Vel</t>
  </si>
  <si>
    <t>KvintaPl_K_Atl</t>
  </si>
  <si>
    <t>KvintaPl_K_Pur</t>
  </si>
  <si>
    <t>KvintaPl_K_Pdx</t>
  </si>
  <si>
    <t>KvintaPl_K_Pdxmatt</t>
  </si>
  <si>
    <t>KvintaPl_K_StBarhat</t>
  </si>
  <si>
    <t>KvintaPl_K_Dr</t>
  </si>
  <si>
    <t>KvintaPl_K_Sat</t>
  </si>
  <si>
    <t>KvintaPl_K_PEdp</t>
  </si>
  <si>
    <t>KvintaPl_K_Pe08</t>
  </si>
  <si>
    <t>KvintaPl_K_Pe07</t>
  </si>
  <si>
    <t>KvintaPl_K_Pe065</t>
  </si>
  <si>
    <t>KvintaPl_K_Pe045</t>
  </si>
  <si>
    <t>KvintaPl_K_Pe04</t>
  </si>
  <si>
    <t>KvintaPl_K_dachPr</t>
  </si>
  <si>
    <t>KvintaPl_K_dachSk</t>
  </si>
  <si>
    <t>KvintaPl_K_Ptdach</t>
  </si>
  <si>
    <t>KvintaPl_K_PtNN</t>
  </si>
  <si>
    <t>Kamea  - Краснодар</t>
  </si>
  <si>
    <t>Kamea_K_Ptdp</t>
  </si>
  <si>
    <t>Kamea_K_Pt</t>
  </si>
  <si>
    <t>Kamea_K_Sf</t>
  </si>
  <si>
    <t>Kamea_K_Q</t>
  </si>
  <si>
    <t>Kamea_K_Ql</t>
  </si>
  <si>
    <t>Kamea_K_Vel</t>
  </si>
  <si>
    <t>Kamea_K_Atl</t>
  </si>
  <si>
    <t>Kamea_K_Pur</t>
  </si>
  <si>
    <t>Kamea_K_Pdx</t>
  </si>
  <si>
    <t>Kamea_K_Pdxmatt</t>
  </si>
  <si>
    <t>Kamea_K_StBarhat</t>
  </si>
  <si>
    <t>Kamea_K_Dr</t>
  </si>
  <si>
    <t>Kamea_K_Sat</t>
  </si>
  <si>
    <t>Kamea_K_PEdp</t>
  </si>
  <si>
    <t>Kamea_K_Pe08</t>
  </si>
  <si>
    <t>Kamea_K_Pe07</t>
  </si>
  <si>
    <t>Kamea_K_Pe065</t>
  </si>
  <si>
    <t>Kamea_K_Pe045</t>
  </si>
  <si>
    <t>Kamea_K_Pe04</t>
  </si>
  <si>
    <t>Kamea_K_dachPr</t>
  </si>
  <si>
    <t>Kamea_K_dachSk</t>
  </si>
  <si>
    <t>Kamea_K_Ptdach</t>
  </si>
  <si>
    <t>Kamea_K_PtNN</t>
  </si>
  <si>
    <t>Kredo  - Краснодар</t>
  </si>
  <si>
    <t>Kredo_K_Ptdp</t>
  </si>
  <si>
    <t>Kredo_K_Pt</t>
  </si>
  <si>
    <t>Kredo_K_Sf</t>
  </si>
  <si>
    <t>Kredo_K_Q</t>
  </si>
  <si>
    <t>Kredo_K_Ql</t>
  </si>
  <si>
    <t>Kredo_K_Vel</t>
  </si>
  <si>
    <t>Kredo_K_Atl</t>
  </si>
  <si>
    <t>Kredo_K_Pur</t>
  </si>
  <si>
    <t>Kredo_K_Pdx</t>
  </si>
  <si>
    <t>Kredo_K_Pdxmatt</t>
  </si>
  <si>
    <t>Kredo_K_StBarhat</t>
  </si>
  <si>
    <t>Kredo_K_Dr</t>
  </si>
  <si>
    <t>Kredo_K_Sat</t>
  </si>
  <si>
    <t>Kredo_K_PEdp</t>
  </si>
  <si>
    <t>Kredo_K_Pe08</t>
  </si>
  <si>
    <t>Kredo_K_Pe07</t>
  </si>
  <si>
    <t>Kredo_K_Pe065</t>
  </si>
  <si>
    <t>Kredo_K_Pe045</t>
  </si>
  <si>
    <t>Kredo_K_Pe04</t>
  </si>
  <si>
    <t>Kredo_K_dachPr</t>
  </si>
  <si>
    <t>Kredo_K_dachSk</t>
  </si>
  <si>
    <t>Kredo_K_Ptdach</t>
  </si>
  <si>
    <t>Kredo_K_PtNN</t>
  </si>
  <si>
    <t>Classic  - Краснодар</t>
  </si>
  <si>
    <t>Classic_K_Ptdp</t>
  </si>
  <si>
    <t>Classic_K_Pt</t>
  </si>
  <si>
    <t>Classic_K_Sf</t>
  </si>
  <si>
    <t>Classic_K_Q</t>
  </si>
  <si>
    <t>Classic_K_Ql</t>
  </si>
  <si>
    <t>Classic_K_Vel</t>
  </si>
  <si>
    <t>Classic_K_Atl</t>
  </si>
  <si>
    <t>Classic_K_Pur</t>
  </si>
  <si>
    <t>Classic_K_Pdx</t>
  </si>
  <si>
    <t>Classic_K_Pdxmatt</t>
  </si>
  <si>
    <t>Classic_K_StBarhat</t>
  </si>
  <si>
    <t>Classic_K_Dr</t>
  </si>
  <si>
    <t>Classic_K_Sat</t>
  </si>
  <si>
    <t>Classic_K_PEdp</t>
  </si>
  <si>
    <t>Classic_K_Pe08</t>
  </si>
  <si>
    <t>Classic_K_Pe07</t>
  </si>
  <si>
    <t>Classic_K_Pe065</t>
  </si>
  <si>
    <t>Classic_K_Pe045</t>
  </si>
  <si>
    <t>Classic_K_Pe04</t>
  </si>
  <si>
    <t>Classic_K_dachPr</t>
  </si>
  <si>
    <t>Classic_K_dachSk</t>
  </si>
  <si>
    <t>Classic_K_Ptdach</t>
  </si>
  <si>
    <t>Classic_K_PtNN</t>
  </si>
  <si>
    <t>Металлочерепица Classic plus  - Краснодар</t>
  </si>
  <si>
    <t>ClassicPl_K_Ptdp</t>
  </si>
  <si>
    <t>ClassicPl_K_Pt</t>
  </si>
  <si>
    <t>ClassicPl_K_Sf</t>
  </si>
  <si>
    <t>ClassicPl_K_Q</t>
  </si>
  <si>
    <t>ClassicPl_K_Ql</t>
  </si>
  <si>
    <t>ClassicPl_K_Vel</t>
  </si>
  <si>
    <t>ClassicPl_K_Atl</t>
  </si>
  <si>
    <t>ClassicPl_K_Pur</t>
  </si>
  <si>
    <t>ClassicPl_K_Pdx</t>
  </si>
  <si>
    <t>ClassicPl_K_Pdxmatt</t>
  </si>
  <si>
    <t>ClassicPl_K_StBarhat</t>
  </si>
  <si>
    <t>ClassicPl_K_Dr</t>
  </si>
  <si>
    <t>ClassicPl_K_Sat</t>
  </si>
  <si>
    <t>ClassicPl_K_PEdp</t>
  </si>
  <si>
    <t>ClassicPl_K_Pe08</t>
  </si>
  <si>
    <t>ClassicPl_K_Pe07</t>
  </si>
  <si>
    <t>ClassicPl_K_Pe065</t>
  </si>
  <si>
    <t>ClassicPl_K_Pe045</t>
  </si>
  <si>
    <t>ClassicPl_K_Pe04</t>
  </si>
  <si>
    <t>ClassicPl_K_dachPr</t>
  </si>
  <si>
    <t>ClassicPl_K_dachSk</t>
  </si>
  <si>
    <t>ClassicPl_K_Ptdach</t>
  </si>
  <si>
    <t>ClassicPl_K_PtNN</t>
  </si>
  <si>
    <t>Modern  - Краснодар</t>
  </si>
  <si>
    <t>Modern_K_Ptdp</t>
  </si>
  <si>
    <t>Modern_K_Pt</t>
  </si>
  <si>
    <t>Modern_K_Sf</t>
  </si>
  <si>
    <t>Modern_K_Q</t>
  </si>
  <si>
    <t>Modern_K_Ql</t>
  </si>
  <si>
    <t>Modern_K_Vel</t>
  </si>
  <si>
    <t>Modern_K_Atl</t>
  </si>
  <si>
    <t>Modern_K_Pur</t>
  </si>
  <si>
    <t>Modern_K_Pdx</t>
  </si>
  <si>
    <t>Modern_K_Pdxmatt</t>
  </si>
  <si>
    <t>Modern_K_StBarhat</t>
  </si>
  <si>
    <t>Modern_K_Dr</t>
  </si>
  <si>
    <t>Modern_K_Sat</t>
  </si>
  <si>
    <t>Modern_K_PEdp</t>
  </si>
  <si>
    <t>Modern_K_Pe08</t>
  </si>
  <si>
    <t>Modern_K_Pe07</t>
  </si>
  <si>
    <t>Modern_K_Pe065</t>
  </si>
  <si>
    <t>Modern_K_Pe045</t>
  </si>
  <si>
    <t>Modern_K_Pe04</t>
  </si>
  <si>
    <t>Modern_K_dachPr</t>
  </si>
  <si>
    <t>Modern_K_dachSk</t>
  </si>
  <si>
    <t>Modern_K_Ptdach</t>
  </si>
  <si>
    <t>Modern_K_PtNN</t>
  </si>
  <si>
    <t>Софит металлический  - Краснодар</t>
  </si>
  <si>
    <t>Sofit_K_Ptdp</t>
  </si>
  <si>
    <t>Sofit_K_Pt</t>
  </si>
  <si>
    <t>Sofit_K_Sf</t>
  </si>
  <si>
    <t>Sofit_K_Q</t>
  </si>
  <si>
    <t>Sofit_K_Ql</t>
  </si>
  <si>
    <t>Sofit_K_Vel</t>
  </si>
  <si>
    <t>Sofit_K_Atl</t>
  </si>
  <si>
    <t>Sofit_K_Pur</t>
  </si>
  <si>
    <t>Sofit_K_Pdx</t>
  </si>
  <si>
    <t>Sofit_K_Pdxmatt</t>
  </si>
  <si>
    <t>Sofit_K_StBarhat</t>
  </si>
  <si>
    <t>Sofit_K_Dr</t>
  </si>
  <si>
    <t>Sofit_K_Sat</t>
  </si>
  <si>
    <t>Sofit_K_PEdp</t>
  </si>
  <si>
    <t>Sofit_K_Pe08</t>
  </si>
  <si>
    <t>Sofit_K_Pe07</t>
  </si>
  <si>
    <t>Sofit_K_Pe065</t>
  </si>
  <si>
    <t>Sofit_K_Pe045</t>
  </si>
  <si>
    <t>Sofit_K_Pe04</t>
  </si>
  <si>
    <t>Sofit_K_dachPr</t>
  </si>
  <si>
    <t>Sofit_K_dachSk</t>
  </si>
  <si>
    <t>Sofit_K_Ptdach</t>
  </si>
  <si>
    <t>Sofit_K_PtNN</t>
  </si>
  <si>
    <t>Двойной стоячий фальц/Profi  - Краснодар</t>
  </si>
  <si>
    <t>Falz2_K_Ptdp</t>
  </si>
  <si>
    <t>Falz2_K_Pt</t>
  </si>
  <si>
    <t>Falz2_K_Sf</t>
  </si>
  <si>
    <t>Falz2_K_Q</t>
  </si>
  <si>
    <t>Falz2_K_Ql</t>
  </si>
  <si>
    <t>Falz2_K_Vel</t>
  </si>
  <si>
    <t>Falz2_K_Atl</t>
  </si>
  <si>
    <t>Falz2_K_Pur</t>
  </si>
  <si>
    <t>Falz2_K_Pdx</t>
  </si>
  <si>
    <t>Falz2_K_Pdxmatt</t>
  </si>
  <si>
    <t>Falz2_K_StBarhat</t>
  </si>
  <si>
    <t>Falz2_K_Dr</t>
  </si>
  <si>
    <t>Falz2_K_Sat</t>
  </si>
  <si>
    <t>Falz2_K_PEdp</t>
  </si>
  <si>
    <t>Falz2_K_Pe08</t>
  </si>
  <si>
    <t>Falz2_K_Pe07</t>
  </si>
  <si>
    <t>Falz2_K_Pe065</t>
  </si>
  <si>
    <t>Falz2_K_Pe045</t>
  </si>
  <si>
    <t>Falz2_K_Pe04</t>
  </si>
  <si>
    <t>Falz2_K_dachPr</t>
  </si>
  <si>
    <t>Falz2_K_dachSk</t>
  </si>
  <si>
    <t>Falz2_K_Zn035</t>
  </si>
  <si>
    <t>Falz2_K_Zn04</t>
  </si>
  <si>
    <t>Falz2_K_Zn045</t>
  </si>
  <si>
    <t>Falz2_K_Zn05</t>
  </si>
  <si>
    <t>Falz2_K_Zn055</t>
  </si>
  <si>
    <t>Falz2_K_Zn07</t>
  </si>
  <si>
    <t>Falz2_K_Zn08</t>
  </si>
  <si>
    <t>Falz2_K_Zn09</t>
  </si>
  <si>
    <t>Falz2_K_Ptdach</t>
  </si>
  <si>
    <t>Falz2_K_PtNN</t>
  </si>
  <si>
    <t>Кликфальц/Profi  - Краснодар</t>
  </si>
  <si>
    <t>Klik_K_Ptdp</t>
  </si>
  <si>
    <t>Klik_K_Pt</t>
  </si>
  <si>
    <t>Klik_K_Sf</t>
  </si>
  <si>
    <t>Klik_K_Q</t>
  </si>
  <si>
    <t>Klik_K_Ql</t>
  </si>
  <si>
    <t>Klik_K_Vel</t>
  </si>
  <si>
    <t>Klik_K_Atl</t>
  </si>
  <si>
    <t>Klik_K_Pur</t>
  </si>
  <si>
    <t>Klik_K_Pdx</t>
  </si>
  <si>
    <t>Klik_K_Pdxmatt</t>
  </si>
  <si>
    <t>Klik_K_StBarhat</t>
  </si>
  <si>
    <t>Klik_K_Dr</t>
  </si>
  <si>
    <t>Klik_K_Sat</t>
  </si>
  <si>
    <t>Klik_K_PEdp</t>
  </si>
  <si>
    <t>Klik_K_Pe08</t>
  </si>
  <si>
    <t>Klik_K_Pe07</t>
  </si>
  <si>
    <t>Klik_K_Pe065</t>
  </si>
  <si>
    <t>Klik_K_Pe045</t>
  </si>
  <si>
    <t>Klik_K_Pe04</t>
  </si>
  <si>
    <t>Klik_K_dachPr</t>
  </si>
  <si>
    <t>Klik_K_dachSk</t>
  </si>
  <si>
    <t>Klik_K_Zn035</t>
  </si>
  <si>
    <t>Klik_K_Zn04</t>
  </si>
  <si>
    <t>Klik_K_Zn045</t>
  </si>
  <si>
    <t>Klik_K_Zn05</t>
  </si>
  <si>
    <t>Klik_K_Zn055</t>
  </si>
  <si>
    <t>Klik_K_Zn07</t>
  </si>
  <si>
    <t>Klik_K_Zn08</t>
  </si>
  <si>
    <t>Klik_K_Zn09</t>
  </si>
  <si>
    <t>Klik_K_Ptdach</t>
  </si>
  <si>
    <t>Klik_K_PtNN</t>
  </si>
  <si>
    <t>Кликфальц Mini  - Краснодар</t>
  </si>
  <si>
    <t>Klik_mini_K_Ptdp</t>
  </si>
  <si>
    <t>Klik_mini_K_Pt</t>
  </si>
  <si>
    <t>Klik_mini_K_Sf</t>
  </si>
  <si>
    <t>Klik_mini_K_Q</t>
  </si>
  <si>
    <t>Klik_mini_K_Ql</t>
  </si>
  <si>
    <t>Klik_mini_K_Vel</t>
  </si>
  <si>
    <t>Klik_mini_K_Atl</t>
  </si>
  <si>
    <t>Klik_mini_K_Pur</t>
  </si>
  <si>
    <t>Klik_mini_K_Pdx</t>
  </si>
  <si>
    <t>Klik_mini_K_Pdxmatt</t>
  </si>
  <si>
    <t>Klik_mini_K_StBarhat</t>
  </si>
  <si>
    <t>Klik_mini_K_Dr</t>
  </si>
  <si>
    <t>Klik_mini_K_Sat</t>
  </si>
  <si>
    <t>Klik_mini_K_PEdp</t>
  </si>
  <si>
    <t>Klik_mini_K_Pe08</t>
  </si>
  <si>
    <t>Klik_mini_K_Pe07</t>
  </si>
  <si>
    <t>Klik_mini_K_Pe065</t>
  </si>
  <si>
    <t>Klik_mini_K_Pe045</t>
  </si>
  <si>
    <t>Klik_mini_K_Pe04</t>
  </si>
  <si>
    <t>Klik_mini_K_dachPr</t>
  </si>
  <si>
    <t>Klik_mini_K_dachSk</t>
  </si>
  <si>
    <t>Klik_mini_K_Zn035</t>
  </si>
  <si>
    <t>Klik_mini_K_Zn04</t>
  </si>
  <si>
    <t>Klik_mini_K_Zn045</t>
  </si>
  <si>
    <t>Klik_mini_K_Zn05</t>
  </si>
  <si>
    <t>Klik_mini_K_Zn055</t>
  </si>
  <si>
    <t>Klik_mini_K_Zn07</t>
  </si>
  <si>
    <t>Klik_mini_K_Zn08</t>
  </si>
  <si>
    <t>Klik_mini_K_Zn09</t>
  </si>
  <si>
    <t>Klik_mini_K_Ptdach</t>
  </si>
  <si>
    <t>Klik_mini_K_PtNN</t>
  </si>
  <si>
    <t>Профнастил С8  - Краснодар</t>
  </si>
  <si>
    <t>PnC8_K_Ptdp</t>
  </si>
  <si>
    <t>PnC8_K_Pt</t>
  </si>
  <si>
    <t>PnC8_K_Sf</t>
  </si>
  <si>
    <t>PnC8_K_Q</t>
  </si>
  <si>
    <t>PnC8_K_Ql</t>
  </si>
  <si>
    <t>PnC8_K_Vel</t>
  </si>
  <si>
    <t>PnC8_K_Atl</t>
  </si>
  <si>
    <t>PnC8_K_Pur</t>
  </si>
  <si>
    <t>PnC8_K_Pdx</t>
  </si>
  <si>
    <t>PnC8_K_Pdxmatt</t>
  </si>
  <si>
    <t>PnC8_K_StBarhat</t>
  </si>
  <si>
    <t>PnC8_K_Dr</t>
  </si>
  <si>
    <t>PnC8_K_Sat</t>
  </si>
  <si>
    <t>PnC8_K_PEdp</t>
  </si>
  <si>
    <t>PnC8_K_Pe08</t>
  </si>
  <si>
    <t>PnC8_K_Pe07</t>
  </si>
  <si>
    <t>PnC8_K_Pe065</t>
  </si>
  <si>
    <t>PnC8_K_Pe045</t>
  </si>
  <si>
    <t>PnC8_K_Pe04</t>
  </si>
  <si>
    <t>PnC8_K_dachPr</t>
  </si>
  <si>
    <t>PnC8_K_dachSk</t>
  </si>
  <si>
    <t>PnC8_K_Zn035</t>
  </si>
  <si>
    <t>PnC8_K_Zn04</t>
  </si>
  <si>
    <t>PnC8_K_Zn045</t>
  </si>
  <si>
    <t>PnC8_K_Zn05</t>
  </si>
  <si>
    <t>PnC8_K_Zn055</t>
  </si>
  <si>
    <t>PnC8_K_Zn07</t>
  </si>
  <si>
    <t>PnC8_K_Zn08</t>
  </si>
  <si>
    <t>PnC8_K_Zn09</t>
  </si>
  <si>
    <t>PnC8_K_Ptdach</t>
  </si>
  <si>
    <t>PnC8_K_PtNN</t>
  </si>
  <si>
    <t>Профнастил С10  - Краснодар</t>
  </si>
  <si>
    <t>PnC10_K_Ptdp</t>
  </si>
  <si>
    <t>PnC10_K_Pt</t>
  </si>
  <si>
    <t>PnC10_K_Sf</t>
  </si>
  <si>
    <t>PnC10_K_Q</t>
  </si>
  <si>
    <t>PnC10_K_Ql</t>
  </si>
  <si>
    <t>PnC10_K_Vel</t>
  </si>
  <si>
    <t>PnC10_K_Atl</t>
  </si>
  <si>
    <t>PnC10_K_Pur</t>
  </si>
  <si>
    <t>PnC10_K_Pdx</t>
  </si>
  <si>
    <t>PnC10_K_Pdxmatt</t>
  </si>
  <si>
    <t>PnC10_K_StBarhat</t>
  </si>
  <si>
    <t>PnC10_K_Dr</t>
  </si>
  <si>
    <t>PnC10_K_Sat</t>
  </si>
  <si>
    <t>PnC10_K_PEdp</t>
  </si>
  <si>
    <t>PnC10_K_Pe08</t>
  </si>
  <si>
    <t>PnC10_K_Pe07</t>
  </si>
  <si>
    <t>PnC10_K_Pe065</t>
  </si>
  <si>
    <t>PnC10_K_Pe045</t>
  </si>
  <si>
    <t>PnC10_K_Pe04</t>
  </si>
  <si>
    <t>PnC10_K_dachPr</t>
  </si>
  <si>
    <t>PnC10_K_dachSk</t>
  </si>
  <si>
    <t>PnC10_K_Zn035</t>
  </si>
  <si>
    <t>PnC10_K_Zn04</t>
  </si>
  <si>
    <t>PnC10_K_Zn045</t>
  </si>
  <si>
    <t>PnC10_K_Zn05</t>
  </si>
  <si>
    <t>PnC10_K_Zn055</t>
  </si>
  <si>
    <t>PnC10_K_Zn07</t>
  </si>
  <si>
    <t>PnC10_K_Zn08</t>
  </si>
  <si>
    <t>PnC10_K_Zn09</t>
  </si>
  <si>
    <t>PnC10_K_Ptdach</t>
  </si>
  <si>
    <t>PnC10_K_PtNN</t>
  </si>
  <si>
    <t>Профнастил С10 Фигурный  - Краснодар</t>
  </si>
  <si>
    <t>PnC10f_K_Ptdp</t>
  </si>
  <si>
    <t>PnC10f_K_Pt</t>
  </si>
  <si>
    <t>PnC10f_K_Sf</t>
  </si>
  <si>
    <t>PnC10f_K_Q</t>
  </si>
  <si>
    <t>PnC10f_K_Ql</t>
  </si>
  <si>
    <t>PnC10f_K_Vel</t>
  </si>
  <si>
    <t>PnC10f_K_Atl</t>
  </si>
  <si>
    <t>PnC10f_K_Pur</t>
  </si>
  <si>
    <t>PnC10f_K_Pdx</t>
  </si>
  <si>
    <t>PnC10f_K_Pdxmatt</t>
  </si>
  <si>
    <t>PnC10f_K_StBarhat</t>
  </si>
  <si>
    <t>PnC10f_K_Dr</t>
  </si>
  <si>
    <t>PnC10f_K_Sat</t>
  </si>
  <si>
    <t>PnC10f_K_PEdp</t>
  </si>
  <si>
    <t>PnC10f_K_Pe08</t>
  </si>
  <si>
    <t>PnC10f_K_Pe07</t>
  </si>
  <si>
    <t>PnC10f_K_Pe065</t>
  </si>
  <si>
    <t>PnC10f_K_Pe045</t>
  </si>
  <si>
    <t>PnC10f_K_Pe04</t>
  </si>
  <si>
    <t>PnC10f_K_dachPr</t>
  </si>
  <si>
    <t>PnC10f_K_dachSk</t>
  </si>
  <si>
    <t>PnC10f_K_Zn035</t>
  </si>
  <si>
    <t>PnC10f_K_Zn04</t>
  </si>
  <si>
    <t>PnC10f_K_Zn045</t>
  </si>
  <si>
    <t>PnC10f_K_Zn05</t>
  </si>
  <si>
    <t>PnC10f_K_Zn055</t>
  </si>
  <si>
    <t>PnC10f_K_Zn07</t>
  </si>
  <si>
    <t>PnC10f_K_Zn08</t>
  </si>
  <si>
    <t>PnC10f_K_Zn09</t>
  </si>
  <si>
    <t>PnC10f_K_Ptdach</t>
  </si>
  <si>
    <t>PnC10f_K_PtNN</t>
  </si>
  <si>
    <t>Профнастил С20  - Краснодар</t>
  </si>
  <si>
    <t>PnC20_K_Ptdp</t>
  </si>
  <si>
    <t>PnC20_K_Pt</t>
  </si>
  <si>
    <t>PnC20_K_Sf</t>
  </si>
  <si>
    <t>PnC20_K_Q</t>
  </si>
  <si>
    <t>PnC20_K_Ql</t>
  </si>
  <si>
    <t>PnC20_K_Vel</t>
  </si>
  <si>
    <t>PnC20_K_Atl</t>
  </si>
  <si>
    <t>PnC20_K_Pur</t>
  </si>
  <si>
    <t>PnC20_K_Pdx</t>
  </si>
  <si>
    <t>PnC20_K_Pdxmatt</t>
  </si>
  <si>
    <t>PnC20_K_StBarhat</t>
  </si>
  <si>
    <t>PnC20_K_Dr</t>
  </si>
  <si>
    <t>PnC20_K_Sat</t>
  </si>
  <si>
    <t>PnC20_K_PEdp</t>
  </si>
  <si>
    <t>PnC20_K_Pe08</t>
  </si>
  <si>
    <t>PnC20_K_Pe07</t>
  </si>
  <si>
    <t>PnC20_K_Pe065</t>
  </si>
  <si>
    <t>PnC20_K_Pe045</t>
  </si>
  <si>
    <t>PnC20_K_Pe04</t>
  </si>
  <si>
    <t>PnC20_K_dachPr</t>
  </si>
  <si>
    <t>PnC20_K_dachSk</t>
  </si>
  <si>
    <t>PnC20_K_Zn035</t>
  </si>
  <si>
    <t>PnC20_K_Zn04</t>
  </si>
  <si>
    <t>PnC20_K_Zn045</t>
  </si>
  <si>
    <t>PnC20_K_Zn05</t>
  </si>
  <si>
    <t>PnC20_K_Zn055</t>
  </si>
  <si>
    <t>PnC20_K_Zn07</t>
  </si>
  <si>
    <t>PnC20_K_Zn08</t>
  </si>
  <si>
    <t>PnC20_K_Zn09</t>
  </si>
  <si>
    <t>PnC20_K_Ptdach</t>
  </si>
  <si>
    <t>PnC20_K_PtNN</t>
  </si>
  <si>
    <t>Профнастил С21  - Краснодар</t>
  </si>
  <si>
    <t>PnC21_K_Ptdp</t>
  </si>
  <si>
    <t>PnC21_K_Pt</t>
  </si>
  <si>
    <t>PnC21_K_Sf</t>
  </si>
  <si>
    <t>PnC21_K_Q</t>
  </si>
  <si>
    <t>PnC21_K_Ql</t>
  </si>
  <si>
    <t>PnC21_K_Vel</t>
  </si>
  <si>
    <t>PnC21_K_Atl</t>
  </si>
  <si>
    <t>PnC21_K_Pur</t>
  </si>
  <si>
    <t>PnC21_K_Pdx</t>
  </si>
  <si>
    <t>PnC21_K_Pdxmatt</t>
  </si>
  <si>
    <t>PnC21_K_StBarhat</t>
  </si>
  <si>
    <t>PnC21_K_Dr</t>
  </si>
  <si>
    <t>PnC21_K_Sat</t>
  </si>
  <si>
    <t>PnC21_K_PEdp</t>
  </si>
  <si>
    <t>PnC21_K_Pe08</t>
  </si>
  <si>
    <t>PnC21_K_Pe07</t>
  </si>
  <si>
    <t>PnC21_K_Pe065</t>
  </si>
  <si>
    <t>PnC21_K_Pe045</t>
  </si>
  <si>
    <t>PnC21_K_Pe04</t>
  </si>
  <si>
    <t>PnC21_K_dachPr</t>
  </si>
  <si>
    <t>PnC21_K_dachSk</t>
  </si>
  <si>
    <t>PnC21_K_Zn035</t>
  </si>
  <si>
    <t>PnC21_K_Zn04</t>
  </si>
  <si>
    <t>PnC21_K_Zn045</t>
  </si>
  <si>
    <t>PnC21_K_Zn05</t>
  </si>
  <si>
    <t>PnC21_K_Zn055</t>
  </si>
  <si>
    <t>PnC21_K_Zn07</t>
  </si>
  <si>
    <t>PnC21_K_Zn08</t>
  </si>
  <si>
    <t>PnC21_K_Zn09</t>
  </si>
  <si>
    <t>PnC21_K_Ptdach</t>
  </si>
  <si>
    <t>PnC21_K_PtNN</t>
  </si>
  <si>
    <t>Профнастил НС35  - Краснодар</t>
  </si>
  <si>
    <t>PnHC35_K_Ptdp</t>
  </si>
  <si>
    <t>PnHC35_K_Pt</t>
  </si>
  <si>
    <t>PnHC35_K_Sf</t>
  </si>
  <si>
    <t>PnHC35_K_Q</t>
  </si>
  <si>
    <t>PnHC35_K_Ql</t>
  </si>
  <si>
    <t>PnHC35_K_Vel</t>
  </si>
  <si>
    <t>PnHC35_K_Atl</t>
  </si>
  <si>
    <t>PnHC35_K_Pur</t>
  </si>
  <si>
    <t>PnHC35_K_Pdx</t>
  </si>
  <si>
    <t>PnHC35_K_Pdxmatt</t>
  </si>
  <si>
    <t>PnHC35_K_StBarhat</t>
  </si>
  <si>
    <t>PnHC35_K_Dr</t>
  </si>
  <si>
    <t>PnHC35_K_Sat</t>
  </si>
  <si>
    <t>PnHC35_K_PEdp</t>
  </si>
  <si>
    <t>PnHC35_K_Pe08</t>
  </si>
  <si>
    <t>PnHC35_K_Pe07</t>
  </si>
  <si>
    <t>PnHC35_K_Pe065</t>
  </si>
  <si>
    <t>PnHC35_K_Pe045</t>
  </si>
  <si>
    <t>PnHC35_K_Pe04</t>
  </si>
  <si>
    <t>PnHC35_K_dachPr</t>
  </si>
  <si>
    <t>PnHC35_K_dachSk</t>
  </si>
  <si>
    <t>PnHC35_K_Zn035</t>
  </si>
  <si>
    <t>PnHC35_K_Zn04</t>
  </si>
  <si>
    <t>PnHC35_K_Zn045</t>
  </si>
  <si>
    <t>PnHC35_K_Zn05</t>
  </si>
  <si>
    <t>PnHC35_K_Zn055</t>
  </si>
  <si>
    <t>PnHC35_K_Zn07</t>
  </si>
  <si>
    <t>PnHC35_K_Zn08</t>
  </si>
  <si>
    <t>PnHC35_K_Zn09</t>
  </si>
  <si>
    <t>PnHC35_K_Ptdach</t>
  </si>
  <si>
    <t>PnHC35_K_PtNN</t>
  </si>
  <si>
    <t>Профнастил Н60  - Краснодар</t>
  </si>
  <si>
    <t>PnH60_K_Ptdp</t>
  </si>
  <si>
    <t>PnH60_K_Pt</t>
  </si>
  <si>
    <t>PnH60_K_Sf</t>
  </si>
  <si>
    <t>PnH60_K_Q</t>
  </si>
  <si>
    <t>PnH60_K_Ql</t>
  </si>
  <si>
    <t>PnH60_K_Vel</t>
  </si>
  <si>
    <t>PnH60_K_Atl</t>
  </si>
  <si>
    <t>PnH60_K_Pur</t>
  </si>
  <si>
    <t>PnH60_K_Pdx</t>
  </si>
  <si>
    <t>PnH60_K_Pdxmatt</t>
  </si>
  <si>
    <t>PnH60_K_StBarhat</t>
  </si>
  <si>
    <t>PnH60_K_Dr</t>
  </si>
  <si>
    <t>PnH60_K_Sat</t>
  </si>
  <si>
    <t>PnH60_K_PEdp</t>
  </si>
  <si>
    <t>PnH60_K_Pe08</t>
  </si>
  <si>
    <t>PnH60_K_Pe07</t>
  </si>
  <si>
    <t>PnH60_K_Pe065</t>
  </si>
  <si>
    <t>PnH60_K_Pe045</t>
  </si>
  <si>
    <t>PnH60_K_Pe04</t>
  </si>
  <si>
    <t>PnH60_K_dachPr</t>
  </si>
  <si>
    <t>PnH60_K_dachSk</t>
  </si>
  <si>
    <t>PnH60_K_Zn035</t>
  </si>
  <si>
    <t>PnH60_K_Zn04</t>
  </si>
  <si>
    <t>PnH60_K_Zn045</t>
  </si>
  <si>
    <t>PnH60_K_Zn05</t>
  </si>
  <si>
    <t>PnH60_K_Zn055</t>
  </si>
  <si>
    <t>PnH60_K_Zn07</t>
  </si>
  <si>
    <t>PnH60_K_Zn08</t>
  </si>
  <si>
    <t>PnH60_K_Zn09</t>
  </si>
  <si>
    <t>PnH60_K_Ptdach</t>
  </si>
  <si>
    <t>PnH60_K_PtNN</t>
  </si>
  <si>
    <t>Профнастил Н75  - Краснодар</t>
  </si>
  <si>
    <t>PnH75_K_Ptdp</t>
  </si>
  <si>
    <t>PnH75_K_Pt</t>
  </si>
  <si>
    <t>PnH75_K_Sf</t>
  </si>
  <si>
    <t>PnH75_K_Q</t>
  </si>
  <si>
    <t>PnH75_K_Ql</t>
  </si>
  <si>
    <t>PnH75_K_Vel</t>
  </si>
  <si>
    <t>PnH75_K_Atl</t>
  </si>
  <si>
    <t>PnH75_K_Pur</t>
  </si>
  <si>
    <t>PnH75_K_Pdx</t>
  </si>
  <si>
    <t>PnH75_K_Pdxmatt</t>
  </si>
  <si>
    <t>PnH75_K_StBarhat</t>
  </si>
  <si>
    <t>PnH75_K_Dr</t>
  </si>
  <si>
    <t>PnH75_K_Sat</t>
  </si>
  <si>
    <t>PnH75_K_PEdp</t>
  </si>
  <si>
    <t>PnH75_K_Pe08</t>
  </si>
  <si>
    <t>PnH75_K_Pe07</t>
  </si>
  <si>
    <t>PnH75_K_Pe065</t>
  </si>
  <si>
    <t>PnH75_K_Pe045</t>
  </si>
  <si>
    <t>PnH75_K_Pe04</t>
  </si>
  <si>
    <t>PnH75_K_dachPr</t>
  </si>
  <si>
    <t>PnH75_K_dachSk</t>
  </si>
  <si>
    <t>PnH75_K_Zn035</t>
  </si>
  <si>
    <t>PnH75_K_Zn04</t>
  </si>
  <si>
    <t>PnH75_K_Zn045</t>
  </si>
  <si>
    <t>PnH75_K_Zn05</t>
  </si>
  <si>
    <t>PnH75_K_Zn055</t>
  </si>
  <si>
    <t>PnH75_K_Zn07</t>
  </si>
  <si>
    <t>PnH75_K_Zn08</t>
  </si>
  <si>
    <t>PnH75_K_Zn09</t>
  </si>
  <si>
    <t>PnH75_K_Ptdach</t>
  </si>
  <si>
    <t>PnH75_K_PtNN</t>
  </si>
  <si>
    <t>Штрипс для фальца (625 мм)  - Краснодар</t>
  </si>
  <si>
    <t>ShtripsFalz_K_Ptdp</t>
  </si>
  <si>
    <t>ShtripsFalz_K_Pt</t>
  </si>
  <si>
    <t>ShtripsFalz_K_Sf</t>
  </si>
  <si>
    <t>ShtripsFalz_K_Q</t>
  </si>
  <si>
    <t>ShtripsFalz_K_Ql</t>
  </si>
  <si>
    <t>ShtripsFalz_K_Vel</t>
  </si>
  <si>
    <t>ShtripsFalz_K_Atl</t>
  </si>
  <si>
    <t>ShtripsFalz_K_Pur</t>
  </si>
  <si>
    <t>ShtripsFalz_K_Pdx</t>
  </si>
  <si>
    <t>ShtripsFalz_K_Pdxmatt</t>
  </si>
  <si>
    <t>ShtripsFalz_K_StBarhat</t>
  </si>
  <si>
    <t>ShtripsFalz_K_Dr</t>
  </si>
  <si>
    <t>ShtripsFalz_K_Sat</t>
  </si>
  <si>
    <t>ShtripsFalz_K_PEdp</t>
  </si>
  <si>
    <t>ShtripsFalz_K_Pe08</t>
  </si>
  <si>
    <t>ShtripsFalz_K_Pe07</t>
  </si>
  <si>
    <t>ShtripsFalz_K_Pe065</t>
  </si>
  <si>
    <t>ShtripsFalz_K_Pe045</t>
  </si>
  <si>
    <t>ShtripsFalz_K_Pe04</t>
  </si>
  <si>
    <t>ShtripsFalz_K_dachPr</t>
  </si>
  <si>
    <t>ShtripsFalz_K_dachSk</t>
  </si>
  <si>
    <t>ShtripsFalz_K_Zn035</t>
  </si>
  <si>
    <t>ShtripsFalz_K_Zn04</t>
  </si>
  <si>
    <t>ShtripsFalz_K_Zn045</t>
  </si>
  <si>
    <t>ShtripsFalz_K_Zn05</t>
  </si>
  <si>
    <t>ShtripsFalz_K_Zn055</t>
  </si>
  <si>
    <t>ShtripsFalz_K_Zn07</t>
  </si>
  <si>
    <t>ShtripsFalz_K_Zn08</t>
  </si>
  <si>
    <t>ShtripsFalz_K_Zn09</t>
  </si>
  <si>
    <t>ShtripsFalz_K_Ptdach</t>
  </si>
  <si>
    <t>ShtripsFalz_K_PtNN</t>
  </si>
  <si>
    <t>Плоский лист  - Краснодар
Штрипс  - Краснодар
Отмотка  - Краснодар</t>
  </si>
  <si>
    <t>List_K_Ptdp</t>
  </si>
  <si>
    <t>List_K_Pt</t>
  </si>
  <si>
    <t>List_K_Sf</t>
  </si>
  <si>
    <t>List_K_Q</t>
  </si>
  <si>
    <t>List_K_Ql</t>
  </si>
  <si>
    <t>List_K_Vel</t>
  </si>
  <si>
    <t>List_K_Atl</t>
  </si>
  <si>
    <t>List_K_Pur</t>
  </si>
  <si>
    <t>List_K_Pdx</t>
  </si>
  <si>
    <t>List_K_Pdxmatt</t>
  </si>
  <si>
    <t>List_K_StBarhat</t>
  </si>
  <si>
    <t>List_K_Dr</t>
  </si>
  <si>
    <t>List_K_Sat</t>
  </si>
  <si>
    <t>List_K_PEdp</t>
  </si>
  <si>
    <t>List_K_Pe08</t>
  </si>
  <si>
    <t>List_K_Pe07</t>
  </si>
  <si>
    <t>List_K_Pe065</t>
  </si>
  <si>
    <t>List_K_Pe045</t>
  </si>
  <si>
    <t>List_K_Pe04</t>
  </si>
  <si>
    <t>List_K_dachPr</t>
  </si>
  <si>
    <t>List_K_dachSk</t>
  </si>
  <si>
    <t>List_K_Zn035</t>
  </si>
  <si>
    <t>List_K_Zn04</t>
  </si>
  <si>
    <t>List_K_Zn045</t>
  </si>
  <si>
    <t>List_K_Zn05</t>
  </si>
  <si>
    <t>List_K_Zn055</t>
  </si>
  <si>
    <t>List_K_Zn07</t>
  </si>
  <si>
    <t>List_K_Zn08</t>
  </si>
  <si>
    <t>List_K_Zn09</t>
  </si>
  <si>
    <t>List_K_Ptdach</t>
  </si>
  <si>
    <t>List_K_PtNN</t>
  </si>
  <si>
    <t>Корабельная Доска  - Краснодар</t>
  </si>
  <si>
    <t>S_KDoska_K_Ptdp</t>
  </si>
  <si>
    <t>S_KDoska_K_Pt</t>
  </si>
  <si>
    <t>S_KDoska_K_Sf</t>
  </si>
  <si>
    <t>S_KDoska_K_Q</t>
  </si>
  <si>
    <t>S_KDoska_K_Ql</t>
  </si>
  <si>
    <t>S_KDoska_K_Vel</t>
  </si>
  <si>
    <t>S_KDoska_K_Atl</t>
  </si>
  <si>
    <t>S_KDoska_K_Pur</t>
  </si>
  <si>
    <t>S_KDoska_K_Pdx</t>
  </si>
  <si>
    <t>S_KDoska_K_Pdxmatt</t>
  </si>
  <si>
    <t>S_KDoska_K_StBarhat</t>
  </si>
  <si>
    <t>S_KDoska_K_Dr</t>
  </si>
  <si>
    <t>S_KDoska_K_Sat</t>
  </si>
  <si>
    <t>S_KDoska_K_PEdp</t>
  </si>
  <si>
    <t>S_KDoska_K_Pe08</t>
  </si>
  <si>
    <t>S_KDoska_K_Pe07</t>
  </si>
  <si>
    <t>S_KDoska_K_Pe065</t>
  </si>
  <si>
    <t>S_KDoska_K_Pe045</t>
  </si>
  <si>
    <t>S_KDoska_K_Pe04</t>
  </si>
  <si>
    <t>S_KDoska_K_dachPr</t>
  </si>
  <si>
    <t>S_KDoska_K_dachSk</t>
  </si>
  <si>
    <t>S_KDoska_K_Ptdach</t>
  </si>
  <si>
    <t>S_KDoska_K_PtNN</t>
  </si>
  <si>
    <t>Вертикаль  - Краснодар</t>
  </si>
  <si>
    <t>S_Vertikal_K_Ptdp</t>
  </si>
  <si>
    <t>S_Vertikal_K_Pt</t>
  </si>
  <si>
    <t>S_Vertikal_K_Sf</t>
  </si>
  <si>
    <t>S_Vertikal_K_Q</t>
  </si>
  <si>
    <t>S_Vertikal_K_Ql</t>
  </si>
  <si>
    <t>S_Vertikal_K_Vel</t>
  </si>
  <si>
    <t>S_Vertikal_K_Atl</t>
  </si>
  <si>
    <t>S_Vertikal_K_Pur</t>
  </si>
  <si>
    <t>S_Vertikal_K_Pdx</t>
  </si>
  <si>
    <t>S_Vertikal_K_Pdxmatt</t>
  </si>
  <si>
    <t>S_Vertikal_K_StBarhat</t>
  </si>
  <si>
    <t>S_Vertikal_K_Dr</t>
  </si>
  <si>
    <t>S_Vertikal_K_Sat</t>
  </si>
  <si>
    <t>S_Vertikal_K_PEdp</t>
  </si>
  <si>
    <t>S_Vertikal_K_Pe08</t>
  </si>
  <si>
    <t>S_Vertikal_K_Pe07</t>
  </si>
  <si>
    <t>S_Vertikal_K_Pe065</t>
  </si>
  <si>
    <t>S_Vertikal_K_Pe045</t>
  </si>
  <si>
    <t>S_Vertikal_K_Pe04</t>
  </si>
  <si>
    <t>S_Vertikal_K_dachPr</t>
  </si>
  <si>
    <t>S_Vertikal_K_dachSk</t>
  </si>
  <si>
    <t>S_Vertikal_K_Ptdach</t>
  </si>
  <si>
    <t>S_Vertikal_K_PtNN</t>
  </si>
  <si>
    <t>ЭкоБрус/Gofr  - Краснодар</t>
  </si>
  <si>
    <t>s_K_EBrus_K_Ptdp</t>
  </si>
  <si>
    <t>s_K_EBrus_K_Pt</t>
  </si>
  <si>
    <t>s_K_EBrus_K_Sf</t>
  </si>
  <si>
    <t>s_K_EBrus_K_Q</t>
  </si>
  <si>
    <t>s_K_EBrus_K_Ql</t>
  </si>
  <si>
    <t>s_K_EBrus_K_Vel</t>
  </si>
  <si>
    <t>s_K_EBrus_K_Atl</t>
  </si>
  <si>
    <t>s_K_EBrus_K_Pur</t>
  </si>
  <si>
    <t>s_K_EBrus_K_Pdx</t>
  </si>
  <si>
    <t>s_K_EBrus_K_Pdxmatt</t>
  </si>
  <si>
    <t>s_K_EBrus_K_StBarhat</t>
  </si>
  <si>
    <t>s_K_EBrus_K_Dr</t>
  </si>
  <si>
    <t>s_K_EBrus_K_Sat</t>
  </si>
  <si>
    <t>s_K_EBrus_K_PEdp</t>
  </si>
  <si>
    <t>s_K_EBrus_K_Pe08</t>
  </si>
  <si>
    <t>s_K_EBrus_K_Pe07</t>
  </si>
  <si>
    <t>s_K_EBrus_K_Pe065</t>
  </si>
  <si>
    <t>s_K_EBrus_K_Pe045</t>
  </si>
  <si>
    <t>s_K_EBrus_K_Pe04</t>
  </si>
  <si>
    <t>s_K_EBrus_K_dachPr</t>
  </si>
  <si>
    <t>s_K_EBrus_K_dachSk</t>
  </si>
  <si>
    <t>s_K_EBrus_K_Ptdach</t>
  </si>
  <si>
    <t>s_K_EBrus_K_PtNN</t>
  </si>
  <si>
    <t>Блок-хаус  - Краснодар</t>
  </si>
  <si>
    <t>s_K_BHaus_K_Ptdp</t>
  </si>
  <si>
    <t>s_K_BHaus_K_Pt</t>
  </si>
  <si>
    <t>s_K_BHaus_K_Sf</t>
  </si>
  <si>
    <t>s_K_BHaus_K_Q</t>
  </si>
  <si>
    <t>s_K_BHaus_K_Ql</t>
  </si>
  <si>
    <t>s_K_BHaus_K_Vel</t>
  </si>
  <si>
    <t>s_K_BHaus_K_Atl</t>
  </si>
  <si>
    <t>s_K_BHaus_K_Pur</t>
  </si>
  <si>
    <t>s_K_BHaus_K_Pdx</t>
  </si>
  <si>
    <t>s_K_BHaus_K_Pdxmatt</t>
  </si>
  <si>
    <t>s_K_BHaus_K_StBarhat</t>
  </si>
  <si>
    <t>s_K_BHaus_K_Dr</t>
  </si>
  <si>
    <t>s_K_BHaus_K_Sat</t>
  </si>
  <si>
    <t>s_K_BHaus_K_PEdp</t>
  </si>
  <si>
    <t>s_K_BHaus_K_Pe08</t>
  </si>
  <si>
    <t>s_K_BHaus_K_Pe07</t>
  </si>
  <si>
    <t>s_K_BHaus_K_Pe065</t>
  </si>
  <si>
    <t>s_K_BHaus_K_Pe045</t>
  </si>
  <si>
    <t>s_K_BHaus_K_Pe04</t>
  </si>
  <si>
    <t>s_K_BHaus_K_dachPr</t>
  </si>
  <si>
    <t>s_K_BHaus_K_dachSk</t>
  </si>
  <si>
    <t>s_K_BHaus_K_Ptdach</t>
  </si>
  <si>
    <t>s_K_BHaus_K_PtNN</t>
  </si>
  <si>
    <t>Блок-хаус New  - Краснодар</t>
  </si>
  <si>
    <t>S_BHausNew_K_Ptdp</t>
  </si>
  <si>
    <t>S_BHausNew_K_Pt</t>
  </si>
  <si>
    <t>S_BHausNew_K_Sf</t>
  </si>
  <si>
    <t>S_BHausNew_K_Q</t>
  </si>
  <si>
    <t>S_BHausNew_K_Ql</t>
  </si>
  <si>
    <t>S_BHausNew_K_Vel</t>
  </si>
  <si>
    <t>S_BHausNew_K_Atl</t>
  </si>
  <si>
    <t>S_BHausNew_K_Pur</t>
  </si>
  <si>
    <t>S_BHausNew_K_Pdx</t>
  </si>
  <si>
    <t>S_BHausNew_K_Pdxmatt</t>
  </si>
  <si>
    <t>S_BHausNew_K_StBarhat</t>
  </si>
  <si>
    <t>S_BHausNew_K_Dr</t>
  </si>
  <si>
    <t>S_BHausNew_K_Sat</t>
  </si>
  <si>
    <t>S_BHausNew_K_PEdp</t>
  </si>
  <si>
    <t>S_BHausNew_K_Pe08</t>
  </si>
  <si>
    <t>S_BHausNew_K_Pe07</t>
  </si>
  <si>
    <t>S_BHausNew_K_Pe065</t>
  </si>
  <si>
    <t>S_BHausNew_K_Pe045</t>
  </si>
  <si>
    <t>S_BHausNew_K_Pe04</t>
  </si>
  <si>
    <t>S_BHausNew_K_dachPr</t>
  </si>
  <si>
    <t>S_BHausNew_K_dachSk</t>
  </si>
  <si>
    <t>S_BHausNew_K_Ptdach</t>
  </si>
  <si>
    <t>S_BHausNew_K_PtNN</t>
  </si>
  <si>
    <t>П/М-образный  - Краснодар</t>
  </si>
  <si>
    <t>Shtaket_MP_K_Ptdp</t>
  </si>
  <si>
    <t>Shtaket_MP_K_Pt</t>
  </si>
  <si>
    <t>Shtaket_MP_K_Sf</t>
  </si>
  <si>
    <t>Shtaket_MP_K_Q</t>
  </si>
  <si>
    <t>Shtaket_MP_K_Ql</t>
  </si>
  <si>
    <t>Shtaket_MP_K_Vel</t>
  </si>
  <si>
    <t>Shtaket_MP_K_Atl</t>
  </si>
  <si>
    <t>Shtaket_MP_K_Pur</t>
  </si>
  <si>
    <t>Shtaket_MP_K_Pdx</t>
  </si>
  <si>
    <t>Shtaket_MP_K_Pdxmatt</t>
  </si>
  <si>
    <t>Shtaket_MP_K_StBarhat</t>
  </si>
  <si>
    <t>Shtaket_MP_K_Dr</t>
  </si>
  <si>
    <t>Shtaket_MP_K_Sat</t>
  </si>
  <si>
    <t>Shtaket_MP_K_PEdp</t>
  </si>
  <si>
    <t>Shtaket_MP_K_Pe08</t>
  </si>
  <si>
    <t>Shtaket_MP_K_Pe07</t>
  </si>
  <si>
    <t>Shtaket_MP_K_Pe065</t>
  </si>
  <si>
    <t>Shtaket_MP_K_Pe045</t>
  </si>
  <si>
    <t>Shtaket_MP_K_Pe04</t>
  </si>
  <si>
    <t>Shtaket_MP_K_dachPr</t>
  </si>
  <si>
    <t>Shtaket_MP_K_dachSk</t>
  </si>
  <si>
    <t>Shtaket_MP_K_Ptdach</t>
  </si>
  <si>
    <t>Shtaket_MP_K_PtNN</t>
  </si>
  <si>
    <t>П/М-образный Фигурный  - Краснодар</t>
  </si>
  <si>
    <t>Shtaket_MPf_K_Ptdp</t>
  </si>
  <si>
    <t>Shtaket_MPf_K_Pt</t>
  </si>
  <si>
    <t>Shtaket_MPf_K_Sf</t>
  </si>
  <si>
    <t>Shtaket_MPf_K_Q</t>
  </si>
  <si>
    <t>Shtaket_MPf_K_Ql</t>
  </si>
  <si>
    <t>Shtaket_MPf_K_Vel</t>
  </si>
  <si>
    <t>Shtaket_MPf_K_Atl</t>
  </si>
  <si>
    <t>Shtaket_MPf_K_Pur</t>
  </si>
  <si>
    <t>Shtaket_MPf_K_Pdx</t>
  </si>
  <si>
    <t>Shtaket_MPf_K_Pdxmatt</t>
  </si>
  <si>
    <t>Shtaket_MPf_K_StBarhat</t>
  </si>
  <si>
    <t>Shtaket_MPf_K_Dr</t>
  </si>
  <si>
    <t>Shtaket_MPf_K_Sat</t>
  </si>
  <si>
    <t>Shtaket_MPf_K_PEdp</t>
  </si>
  <si>
    <t>Shtaket_MPf_K_Pe08</t>
  </si>
  <si>
    <t>Shtaket_MPf_K_Pe07</t>
  </si>
  <si>
    <t>Shtaket_MPf_K_Pe065</t>
  </si>
  <si>
    <t>Shtaket_MPf_K_Pe045</t>
  </si>
  <si>
    <t>Shtaket_MPf_K_Pe04</t>
  </si>
  <si>
    <t>Shtaket_MPf_K_dachPr</t>
  </si>
  <si>
    <t>Shtaket_MPf_K_dachSk</t>
  </si>
  <si>
    <t>Shtaket_MPf_K_Ptdach</t>
  </si>
  <si>
    <t>Shtaket_MPf_K_PtNN</t>
  </si>
  <si>
    <t>Круглый  - Краснодар</t>
  </si>
  <si>
    <t>Shtaket_Kr_K_Ptdp</t>
  </si>
  <si>
    <t>Shtaket_Kr_K_Pt</t>
  </si>
  <si>
    <t>Shtaket_Kr_K_Sf</t>
  </si>
  <si>
    <t>Shtaket_Kr_K_Q</t>
  </si>
  <si>
    <t>Shtaket_Kr_K_Ql</t>
  </si>
  <si>
    <t>Shtaket_Kr_K_Vel</t>
  </si>
  <si>
    <t>Shtaket_Kr_K_Atl</t>
  </si>
  <si>
    <t>Shtaket_Kr_K_Pur</t>
  </si>
  <si>
    <t>Shtaket_Kr_K_Pdx</t>
  </si>
  <si>
    <t>Shtaket_Kr_K_Pdxmatt</t>
  </si>
  <si>
    <t>Shtaket_Kr_K_StBarhat</t>
  </si>
  <si>
    <t>Shtaket_Kr_K_Dr</t>
  </si>
  <si>
    <t>Shtaket_Kr_K_Sat</t>
  </si>
  <si>
    <t>Shtaket_Kr_K_PEdp</t>
  </si>
  <si>
    <t>Shtaket_Kr_K_Pe08</t>
  </si>
  <si>
    <t>Shtaket_Kr_K_Pe07</t>
  </si>
  <si>
    <t>Shtaket_Kr_K_Pe065</t>
  </si>
  <si>
    <t>Shtaket_Kr_K_Pe045</t>
  </si>
  <si>
    <t>Shtaket_Kr_K_Pe04</t>
  </si>
  <si>
    <t>Shtaket_Kr_K_dachPr</t>
  </si>
  <si>
    <t>Shtaket_Kr_K_dachSk</t>
  </si>
  <si>
    <t>Shtaket_Kr_K_Ptdach</t>
  </si>
  <si>
    <t>Shtaket_Kr_K_PtNN</t>
  </si>
  <si>
    <t>Прямоугольный  - Краснодар</t>
  </si>
  <si>
    <t>Shtaket_Pr_K_Ptdp</t>
  </si>
  <si>
    <t>Shtaket_Pr_K_Pt</t>
  </si>
  <si>
    <t>Shtaket_Pr_K_Sf</t>
  </si>
  <si>
    <t>Shtaket_Pr_K_Q</t>
  </si>
  <si>
    <t>Shtaket_Pr_K_Ql</t>
  </si>
  <si>
    <t>Shtaket_Pr_K_Vel</t>
  </si>
  <si>
    <t>Shtaket_Pr_K_Atl</t>
  </si>
  <si>
    <t>Shtaket_Pr_K_Pur</t>
  </si>
  <si>
    <t>Shtaket_Pr_K_Pdx</t>
  </si>
  <si>
    <t>Shtaket_Pr_K_Pdxmatt</t>
  </si>
  <si>
    <t>Shtaket_Pr_K_StBarhat</t>
  </si>
  <si>
    <t>Shtaket_Pr_K_Dr</t>
  </si>
  <si>
    <t>Shtaket_Pr_K_Sat</t>
  </si>
  <si>
    <t>Shtaket_Pr_K_PEdp</t>
  </si>
  <si>
    <t>Shtaket_Pr_K_Pe08</t>
  </si>
  <si>
    <t>Shtaket_Pr_K_Pe07</t>
  </si>
  <si>
    <t>Shtaket_Pr_K_Pe065</t>
  </si>
  <si>
    <t>Shtaket_Pr_K_Pe045</t>
  </si>
  <si>
    <t>Shtaket_Pr_K_Pe04</t>
  </si>
  <si>
    <t>Shtaket_Pr_K_dachPr</t>
  </si>
  <si>
    <t>Shtaket_Pr_K_dachSk</t>
  </si>
  <si>
    <t>Shtaket_Pr_K_Ptdach</t>
  </si>
  <si>
    <t>Shtaket_Pr_K_PtNN</t>
  </si>
  <si>
    <t>Круглый Фигурный  - Краснодар</t>
  </si>
  <si>
    <t>Shtaket_Krf_K_Ptdp</t>
  </si>
  <si>
    <t>Shtaket_Krf_K_Pt</t>
  </si>
  <si>
    <t>Shtaket_Krf_K_Sf</t>
  </si>
  <si>
    <t>Shtaket_Krf_K_Q</t>
  </si>
  <si>
    <t>Shtaket_Krf_K_Ql</t>
  </si>
  <si>
    <t>Shtaket_Krf_K_Vel</t>
  </si>
  <si>
    <t>Shtaket_Krf_K_Atl</t>
  </si>
  <si>
    <t>Shtaket_Krf_K_Pur</t>
  </si>
  <si>
    <t>Shtaket_Krf_K_Pdx</t>
  </si>
  <si>
    <t>Shtaket_Krf_K_Pdxmatt</t>
  </si>
  <si>
    <t>Shtaket_Krf_K_StBarhat</t>
  </si>
  <si>
    <t>Shtaket_Krf_K_Dr</t>
  </si>
  <si>
    <t>Shtaket_Krf_K_Sat</t>
  </si>
  <si>
    <t>Shtaket_Krf_K_PEdp</t>
  </si>
  <si>
    <t>Shtaket_Krf_K_Pe08</t>
  </si>
  <si>
    <t>Shtaket_Krf_K_Pe07</t>
  </si>
  <si>
    <t>Shtaket_Krf_K_Pe065</t>
  </si>
  <si>
    <t>Shtaket_Krf_K_Pe045</t>
  </si>
  <si>
    <t>Shtaket_Krf_K_Pe04</t>
  </si>
  <si>
    <t>Shtaket_Krf_K_dachPr</t>
  </si>
  <si>
    <t>Shtaket_Krf_K_dachSk</t>
  </si>
  <si>
    <t>Shtaket_Krf_K_Ptdach</t>
  </si>
  <si>
    <t>Shtaket_Krf_K_PtNN</t>
  </si>
  <si>
    <t>Прямоугольный Фигурный  - Краснодар</t>
  </si>
  <si>
    <t>Shtaket_Prf_K_Ptdp</t>
  </si>
  <si>
    <t>Shtaket_Prf_K_Pt</t>
  </si>
  <si>
    <t>Shtaket_Prf_K_Sf</t>
  </si>
  <si>
    <t>Shtaket_Prf_K_Q</t>
  </si>
  <si>
    <t>Shtaket_Prf_K_Ql</t>
  </si>
  <si>
    <t>Shtaket_Prf_K_Vel</t>
  </si>
  <si>
    <t>Shtaket_Prf_K_Atl</t>
  </si>
  <si>
    <t>Shtaket_Prf_K_Pur</t>
  </si>
  <si>
    <t>Shtaket_Prf_K_Pdx</t>
  </si>
  <si>
    <t>Shtaket_Prf_K_Pdxmatt</t>
  </si>
  <si>
    <t>Shtaket_Prf_K_StBarhat</t>
  </si>
  <si>
    <t>Shtaket_Prf_K_Dr</t>
  </si>
  <si>
    <t>Shtaket_Prf_K_Sat</t>
  </si>
  <si>
    <t>Shtaket_Prf_K_PEdp</t>
  </si>
  <si>
    <t>Shtaket_Prf_K_Pe08</t>
  </si>
  <si>
    <t>Shtaket_Prf_K_Pe07</t>
  </si>
  <si>
    <t>Shtaket_Prf_K_Pe065</t>
  </si>
  <si>
    <t>Shtaket_Prf_K_Pe045</t>
  </si>
  <si>
    <t>Shtaket_Prf_K_Pe04</t>
  </si>
  <si>
    <t>Shtaket_Prf_K_dachPr</t>
  </si>
  <si>
    <t>Shtaket_Prf_K_dachSk</t>
  </si>
  <si>
    <t>Shtaket_Prf_K_Ptdach</t>
  </si>
  <si>
    <t>Shtaket_Prf_K_PtNN</t>
  </si>
  <si>
    <t>Quadro Profi  - Краснодар</t>
  </si>
  <si>
    <t>Quadro_K_Ptdp</t>
  </si>
  <si>
    <t>Quadro_K_Pt</t>
  </si>
  <si>
    <t>Quadro_K_Sf</t>
  </si>
  <si>
    <t>Quadro_K_Q</t>
  </si>
  <si>
    <t>Quadro_K_Ql</t>
  </si>
  <si>
    <t>Quadro_K_Vel</t>
  </si>
  <si>
    <t>Quadro_K_Atl</t>
  </si>
  <si>
    <t>Quadro_K_Pur</t>
  </si>
  <si>
    <t>Quadro_K_Pdx</t>
  </si>
  <si>
    <t>Quadro_K_Pdxmatt</t>
  </si>
  <si>
    <t>Quadro_K_StBarhat</t>
  </si>
  <si>
    <t>Quadro_K_Dr</t>
  </si>
  <si>
    <t>Quadro_K_Sat</t>
  </si>
  <si>
    <t>Quadro_K_PEdp</t>
  </si>
  <si>
    <t>Quadro_K_Pe08</t>
  </si>
  <si>
    <t>Quadro_K_Pe07</t>
  </si>
  <si>
    <t>Quadro_K_Pe065</t>
  </si>
  <si>
    <t>Quadro_K_Pe045</t>
  </si>
  <si>
    <t>Quadro_K_Pe04</t>
  </si>
  <si>
    <t>Quadro_K_dachPr</t>
  </si>
  <si>
    <t>Quadro_K_dachSk</t>
  </si>
  <si>
    <t>Quadro_K_Ptdach</t>
  </si>
  <si>
    <t>Quadro_K_PtNN</t>
  </si>
  <si>
    <t>Профнастил С10 Фигурный (2)</t>
  </si>
  <si>
    <t>Металлический сайдинг (5)</t>
  </si>
  <si>
    <t>0,45 (6)</t>
  </si>
  <si>
    <t>Блок-хаус (7)</t>
  </si>
  <si>
    <t>(7) металлический сайдинг Блок-хаус производится только в Нижнем-Новгороде (в покрытии Colority Print) и Воронеже.</t>
  </si>
  <si>
    <t>GreenCoat Pural, Pural Matt (8)</t>
  </si>
  <si>
    <t xml:space="preserve">(8) в Санкт-Петербурге возможен заказ продукции в покрытиях GreenCoat Pural и Pural Matt в нестандартных цветах. Минимальный заказ 100 кв.м.  Продукция в покрытиях Pural и Pural Matt в цветах RR30, 31, 34, 36, 37, 40, 41, 798,779, 5j3 дороже на 5% продукции в стандартных цветах. Продукция в цветах RR20, 21, 22, 35, 594 продается без наценки. </t>
  </si>
  <si>
    <t>GreenCoat Pural, Pural Matt (4)</t>
  </si>
  <si>
    <t>(4) в Санкт-Петербурге возможен заказ продукции в покрытиях GreenCoat Pural и Pural Matt в нестандартных цветах. Минимальный заказ 100 кв.м. Продукция в покрытиях Pural и Pural Matt в цветах RR30, 31, 34, 36, 37, 40, 41, 798,779, 5j3 дороже на 5% продукции в стандартных цветах. Продукция в цветах RR20, 21, 22, 35, 594 продается без наценки.</t>
  </si>
  <si>
    <t>Сайдинг Блок-хаус (3)</t>
  </si>
  <si>
    <t>(8) в Санкт-Петербурге возможен заказ продукции в покрытиях GreenCoat Pural и Pural Matt в нестандартных цветах. Минимальный заказ 100 кв.м. Продукция в покрытиях Pural и Pural Matt в цветах RR30, 31, 34, 36, 37, 40, 41, 798,779, 5j3 дороже на 5% продукции в стандартных цветах. Продукция в цветах RR20, 21, 22, 35, 594 продается без наценки.</t>
  </si>
  <si>
    <t>Хомут трубы металлический на камень
(в комплекте шпилька-саморез + дюбель)</t>
  </si>
  <si>
    <t>Здесь у КРР Квадро</t>
  </si>
  <si>
    <t>Кронштейн крепежный усиленный ККУ 90х80 (1,2 мм)</t>
  </si>
  <si>
    <t>Кронштейн крепежный усиленный ККУ 120х80 (1,2 мм)</t>
  </si>
  <si>
    <t>Кронштейн крепежный усиленный ККУ 150х80 (1,2 мм)</t>
  </si>
  <si>
    <t>Кронштейн крепежный усиленный ККУ 180х80 (1,2 мм)</t>
  </si>
  <si>
    <t>Дюбель для утеплителя с пластиковым гвоздем 10х90 (500 шт)</t>
  </si>
  <si>
    <t>Дюбель для утеплителя с пластиковым гвоздем 10х120 (500 шт)</t>
  </si>
  <si>
    <t>Дюбель для утеплителя с пластиковым гвоздем 10х160 (400 шт)</t>
  </si>
  <si>
    <t>Дюбель для утеплителя с металлическим гвоздем 10х90 (500 шт)</t>
  </si>
  <si>
    <t>Дюбель для утеплителя с металлическим гвоздем 10х120 (500 шт)</t>
  </si>
  <si>
    <t>Дюбель для утеплителя с металлическим гвоздем 10х160 (400 шт)</t>
  </si>
  <si>
    <t>Дюбель для утеплителя с металлическим гвоздем 10х200 (300 шт)</t>
  </si>
  <si>
    <t xml:space="preserve">Подкладочный ковер ANDEREP PROF PLUS </t>
  </si>
  <si>
    <t>Подкладочный ковер ANDEREP GL PLUS</t>
  </si>
  <si>
    <r>
      <rPr>
        <b/>
        <sz val="10"/>
        <color indexed="8"/>
        <rFont val="Arial Cyr"/>
        <charset val="204"/>
      </rPr>
      <t>Цены:</t>
    </r>
    <r>
      <rPr>
        <sz val="10"/>
        <color indexed="8"/>
        <rFont val="Arial Cyr"/>
        <charset val="204"/>
      </rPr>
      <t xml:space="preserve"> навесная фасадная система (3.8, 3.6), фасадная плитка Hauberk (3.5), подкладочные ковры ТехноНиколь (1.4), Краснодар - профили для ГК (3.7) </t>
    </r>
    <r>
      <rPr>
        <b/>
        <sz val="10"/>
        <color indexed="8"/>
        <rFont val="Arial Cyr"/>
        <charset val="204"/>
      </rPr>
      <t>Акции:</t>
    </r>
    <r>
      <rPr>
        <sz val="10"/>
        <color indexed="8"/>
        <rFont val="Arial Cyr"/>
        <charset val="204"/>
      </rPr>
      <t xml:space="preserve"> добавлен в акцию профиль Barcelona КМЧ Grand Line в цвете шоколад. </t>
    </r>
    <r>
      <rPr>
        <b/>
        <sz val="10"/>
        <color indexed="8"/>
        <rFont val="Arial Cyr"/>
        <charset val="204"/>
      </rPr>
      <t xml:space="preserve">Новинка: </t>
    </r>
    <r>
      <rPr>
        <sz val="10"/>
        <color indexed="8"/>
        <rFont val="Arial Cyr"/>
        <charset val="204"/>
      </rPr>
      <t>покрытие Стальной Бархат (в.п., 1.1, 1.2, 1.3, 3.1, 3.2, 4.1), Воронеж - утеплитель KNAUF ECOROLL (5.3)</t>
    </r>
  </si>
  <si>
    <r>
      <rPr>
        <b/>
        <sz val="10"/>
        <color indexed="8"/>
        <rFont val="Arial Cyr"/>
        <charset val="204"/>
      </rPr>
      <t xml:space="preserve">Цены: </t>
    </r>
    <r>
      <rPr>
        <sz val="10"/>
        <color indexed="8"/>
        <rFont val="Arial Cyr"/>
        <charset val="204"/>
      </rPr>
      <t xml:space="preserve">профилированная продукция в покрытии Цинк (в.п., 2.1), исправлена опечатка в цене хомута к дымоходу (1.20), цены за кв.м композитной черепицы Luxard пересчитаны от полной площади (1.9). </t>
    </r>
    <r>
      <rPr>
        <b/>
        <sz val="10"/>
        <color indexed="8"/>
        <rFont val="Arial Cyr"/>
        <charset val="204"/>
      </rPr>
      <t>Иное:</t>
    </r>
    <r>
      <rPr>
        <sz val="10"/>
        <color indexed="8"/>
        <rFont val="Arial Cyr"/>
        <charset val="204"/>
      </rPr>
      <t xml:space="preserve"> металлочерепицу Classic в PE 0,4 могут производить во всех регионах кроме Воронежа (в.п., 1.1)</t>
    </r>
  </si>
  <si>
    <t>Калитка Эконом NoLock (распродажа складских остатков)</t>
  </si>
  <si>
    <t>Ворота Эконом NoLock (распродажа складских остатков)</t>
  </si>
  <si>
    <r>
      <rPr>
        <b/>
        <sz val="10"/>
        <color indexed="8"/>
        <rFont val="Arial Cyr"/>
        <charset val="204"/>
      </rPr>
      <t xml:space="preserve">Цены: </t>
    </r>
    <r>
      <rPr>
        <sz val="10"/>
        <color indexed="8"/>
        <rFont val="Arial Cyr"/>
        <charset val="204"/>
      </rPr>
      <t xml:space="preserve">ограждения (4.3, 4.4, 4.5, 4.6), фасадные панели VOX (3.5). </t>
    </r>
    <r>
      <rPr>
        <b/>
        <sz val="10"/>
        <color indexed="8"/>
        <rFont val="Arial Cyr"/>
        <charset val="204"/>
      </rPr>
      <t xml:space="preserve">Иное: </t>
    </r>
    <r>
      <rPr>
        <sz val="10"/>
        <color indexed="8"/>
        <rFont val="Arial Cyr"/>
        <charset val="204"/>
      </rPr>
      <t xml:space="preserve">изменение в складском ассортименет ограждений, напр., поставляются только под заказ шлагбаумы и столб 62х55х1,4х2000 RAL 3 отверстия </t>
    </r>
  </si>
  <si>
    <t>Околооконная планка сложная (J-фаска) 200х50x18 мм 2м/3м</t>
  </si>
  <si>
    <t>Околооконная планка сложная (J-фаска) 250х50x18 мм 2м/3м</t>
  </si>
  <si>
    <t>ЭкоБрус/Gofr (9)</t>
  </si>
  <si>
    <t>ВНИМАНИЕ: С 12.02.2018 г. металлический сайдинг изготавливается без пленки. Изготовление мет.сайдинга в пленке возможно только с наценкой за пленку. В Санкт-Петербурге металлический сайдинг ЭкоБрус изготавливается только в пленке.</t>
  </si>
  <si>
    <t>Сайдинг ЭкоБрус GL/Gofr (5)</t>
  </si>
  <si>
    <t>Лист MetroRoman, кофе</t>
  </si>
  <si>
    <t>Лист MetroRoman, , терракотовый, зеленый, серый, красный, черный, терракотово-желтый</t>
  </si>
  <si>
    <t>Черепица MetroRoman кофе</t>
  </si>
  <si>
    <r>
      <rPr>
        <b/>
        <sz val="10"/>
        <color indexed="8"/>
        <rFont val="Arial Cyr"/>
        <charset val="204"/>
      </rPr>
      <t>Цены:</t>
    </r>
    <r>
      <rPr>
        <sz val="10"/>
        <color indexed="8"/>
        <rFont val="Arial Cyr"/>
        <charset val="204"/>
      </rPr>
      <t xml:space="preserve"> композитная черепица Metrotile (1.10, 1.7). </t>
    </r>
    <r>
      <rPr>
        <b/>
        <sz val="10"/>
        <color indexed="8"/>
        <rFont val="Arial Cyr"/>
        <charset val="204"/>
      </rPr>
      <t xml:space="preserve">Примечание: </t>
    </r>
    <r>
      <rPr>
        <sz val="10"/>
        <color indexed="8"/>
        <rFont val="Arial Cyr"/>
        <charset val="204"/>
      </rPr>
      <t>Санкт-Петербург - изготовление металлического сайдинга ЭкоБрус возможно только в пленке.</t>
    </r>
  </si>
  <si>
    <t>Околооконная планка сложная (J-фаска) 200х50x12 мм 2м/3м</t>
  </si>
  <si>
    <t>Околооконная планка сложная (J-фаска) 250х50x12 мм 2м/3м</t>
  </si>
  <si>
    <t>Околооконная планка сложная (J-фаска) 250х75x18 мм 2м/3м</t>
  </si>
  <si>
    <t>Околооконная планка сложная (J-фаска) 200х50х18 мм</t>
  </si>
  <si>
    <t>Околооконная планка сложная (J-фаска) 250х50х18 мм</t>
  </si>
  <si>
    <t>Околооконная планка сложная 
(J-фаска) 200х50х18 мм</t>
  </si>
  <si>
    <t>Околооконная планка сложная
(J-фаска) 250х50х18 мм</t>
  </si>
  <si>
    <t>Околооконная планка сложная (J-фаска) 200х50х18 мм (БХ/ЭкоБрус)</t>
  </si>
  <si>
    <t>Околооконная планка сложная (J-фаска) 250х50х18 мм (БХ/ЭкоБрус)</t>
  </si>
  <si>
    <r>
      <rPr>
        <b/>
        <sz val="10"/>
        <rFont val="Arial Cyr"/>
        <charset val="204"/>
      </rPr>
      <t xml:space="preserve">Цены: </t>
    </r>
    <r>
      <rPr>
        <sz val="10"/>
        <rFont val="Arial Cyr"/>
        <charset val="204"/>
      </rPr>
      <t xml:space="preserve">профилированная продукция в покрытии Atlas, Pural, Pural Matt, Satin, Pe двс, Pe 0,45, Pe 0,7, Pe 0,8, PE Дачный и доборные элементы в покрыттии Atlas, Pural, Pural Matt (в.п. 1.1, 1.2, 1.3, 1.4, 3.1, 3.2, 4.1), композитная металлочерепица Decra (1.8, 1.7), композитная металлочерепица Luxard (1.9), фиброцементный сайдинг Cedral (3.6), гидроизоляция Tyvek® (5.1), подкладочные ковры ТехноНиколь (1.4), Санкт-Петербург - профили для ГК (3.7). </t>
    </r>
    <r>
      <rPr>
        <b/>
        <sz val="10"/>
        <rFont val="Arial Cyr"/>
        <charset val="204"/>
      </rPr>
      <t>Иное:</t>
    </r>
    <r>
      <rPr>
        <sz val="10"/>
        <rFont val="Arial Cyr"/>
        <charset val="204"/>
      </rPr>
      <t xml:space="preserve"> J-профиль 12 мм перенесен со страницы 1.2 на страницу 4.1; убрано примечание о возможных дефектах проката ПН С10 в Нижнем-Новгороде, так как дефекты устранены; добавлено примечение о минимальном заказе штакетника нестандартного размера в Нижнем-Новгороде; хомут трубы металлический на кирпич переименован в ".. на камень" (1.14)</t>
    </r>
  </si>
  <si>
    <r>
      <rPr>
        <b/>
        <sz val="10"/>
        <color indexed="8"/>
        <rFont val="Arial Cyr"/>
        <charset val="204"/>
      </rPr>
      <t xml:space="preserve">Цены: </t>
    </r>
    <r>
      <rPr>
        <sz val="10"/>
        <color indexed="8"/>
        <rFont val="Arial Cyr"/>
        <charset val="204"/>
      </rPr>
      <t xml:space="preserve">профилированная продукция и доборные элементы в покрытии Стальной Бархат (в.а, 1.1, 1.2, 1.3, 3.1, 3.2, 4.1), терасная доска MasterDeck (6.1). </t>
    </r>
    <r>
      <rPr>
        <b/>
        <sz val="10"/>
        <color indexed="8"/>
        <rFont val="Arial Cyr"/>
        <charset val="204"/>
      </rPr>
      <t>Новинка:</t>
    </r>
    <r>
      <rPr>
        <sz val="10"/>
        <color indexed="8"/>
        <rFont val="Arial Cyr"/>
        <charset val="204"/>
      </rPr>
      <t xml:space="preserve"> двухсторонняя бутил-каучуковая лента Grand Line Butyl Duo Pro (5.1), торцевая сегментная планка во всех покрытиях (1.2), терасная доска MasterDeck Light (6.1). </t>
    </r>
    <r>
      <rPr>
        <b/>
        <sz val="10"/>
        <color indexed="8"/>
        <rFont val="Arial Cyr"/>
        <charset val="204"/>
      </rPr>
      <t>Иное:</t>
    </r>
    <r>
      <rPr>
        <sz val="10"/>
        <color indexed="8"/>
        <rFont val="Arial Cyr"/>
        <charset val="204"/>
      </rPr>
      <t xml:space="preserve"> у околооконной планки сложной (J-фаска) добавлен в название размер 18 мм, также добавлена планка 12 мм (1.2, 3.1), в покрытии PE Дачный производство не продаем плоский лист, отмотку, штрипс и металлочерепицу (в.п. 1.1, 4.1)</t>
    </r>
  </si>
  <si>
    <t>Внимание! Продажа панельных ограждений ведется кратно комплекту (комплект состоит из панелей + 2 столбов на каждую панель + крепления * количество столбов * количество гибов на панелях). Отдельно панели, крепления, столбы, винтовые опоры и т.д. не продаются.</t>
  </si>
  <si>
    <t>(3) металлический сайдинг Блок-хаус производится только в Нижнем-Новгороде (в покрытии Colority Print) и Воронеже</t>
  </si>
  <si>
    <t>(4) штакетник в 0,4 мм (мах длина - 2 м) пр-во СПб изготавливаются в цветах RAL 3005, 6005, 8017, в НН в цветах RAL 3005, 5005, 6005, 9003.</t>
  </si>
  <si>
    <t>(4) штакетник в 0,4 мм (мах длина - 2 м) изготавливаются в Санкт-Петербурге (Гатчино) в цветах RAL 3005, 6005, 8017, в НН в цветах RAL 3005, 5005, 6005, 9003.</t>
  </si>
  <si>
    <t>Лестница SMART LWS Plus - складная, деревянная, термоизоляционая крышка облицованная ДВП древесного цвета</t>
  </si>
  <si>
    <t xml:space="preserve">Лестница KOMFORT LWK Plus - складная, деревянная, термоизоляционая крышка облицованная ДВП белого цвета, толщиной 36мм. Лестница укомплектована поручнем </t>
  </si>
  <si>
    <r>
      <t xml:space="preserve">Лестница Energy LTK - складная, деревянная, термоизоляционая крышка облицованная ДВП белого цвета, толщиной 66мм.,два мех-ма блокировки,усиленная фурнитура (петли, опорная балка),два контура уплотнения. Лестница укомплектована поручнем </t>
    </r>
    <r>
      <rPr>
        <b/>
        <sz val="10"/>
        <color indexed="10"/>
        <rFont val="Arial Cyr"/>
        <charset val="204"/>
      </rPr>
      <t xml:space="preserve"> </t>
    </r>
  </si>
  <si>
    <t>шоколад (3)</t>
  </si>
  <si>
    <t>кленовый латте, эспрессо (3)</t>
  </si>
  <si>
    <t>Саморезы по дереву HD 4,0x45mm</t>
  </si>
  <si>
    <t>нержавеющая сталь, упак. 250 шт. + бита</t>
  </si>
  <si>
    <t>OSB-3 плита 2,5м*1,25м*12мм (1)</t>
  </si>
  <si>
    <r>
      <rPr>
        <b/>
        <sz val="10"/>
        <color indexed="8"/>
        <rFont val="Arial Cyr"/>
        <charset val="204"/>
      </rPr>
      <t xml:space="preserve">Цены: </t>
    </r>
    <r>
      <rPr>
        <sz val="10"/>
        <color indexed="8"/>
        <rFont val="Arial Cyr"/>
        <charset val="204"/>
      </rPr>
      <t xml:space="preserve">дымники и колпаки (1.25, в.п., 1.1, 1.2, 4.1), комполитная черепица Grand Line (1.7), плиты OSB (1.4, 1.5). </t>
    </r>
    <r>
      <rPr>
        <b/>
        <sz val="10"/>
        <color indexed="8"/>
        <rFont val="Arial Cyr"/>
        <charset val="204"/>
      </rPr>
      <t>Примечание:</t>
    </r>
    <r>
      <rPr>
        <sz val="10"/>
        <color indexed="8"/>
        <rFont val="Arial Cyr"/>
        <charset val="204"/>
      </rPr>
      <t xml:space="preserve"> Санкт-Петербург - изготовление металлического сайдинга Корабельная Доска возможно только в пленке. </t>
    </r>
    <r>
      <rPr>
        <b/>
        <sz val="10"/>
        <color indexed="8"/>
        <rFont val="Arial Cyr"/>
        <charset val="204"/>
      </rPr>
      <t>Иное:</t>
    </r>
    <r>
      <rPr>
        <sz val="10"/>
        <color indexed="8"/>
        <rFont val="Arial Cyr"/>
        <charset val="204"/>
      </rPr>
      <t xml:space="preserve"> фиброцементный сайдинг Cedral изменены саморезы по дереву (3.6)</t>
    </r>
  </si>
  <si>
    <t>OSB-3 плита 2,5м*1,25м*12мм (2)</t>
  </si>
  <si>
    <t>6.1. Террасная доска MasterDeck (Мастер Дэк)</t>
  </si>
  <si>
    <t>Для чего</t>
  </si>
  <si>
    <t>Террасная доска MasterDeck</t>
  </si>
  <si>
    <t>Комплектующие  MasterDeck</t>
  </si>
  <si>
    <r>
      <t xml:space="preserve">Террасная доска MasterDeck Classic </t>
    </r>
    <r>
      <rPr>
        <sz val="10"/>
        <rFont val="Arial Cyr"/>
        <charset val="204"/>
      </rPr>
      <t>(вельвет узкий + широкий)</t>
    </r>
  </si>
  <si>
    <t>клен, серый, орегон, тик, венге, антрацит</t>
  </si>
  <si>
    <t>140 х 26 х 3000</t>
  </si>
  <si>
    <t>2,317 доски на 1 кв.м.</t>
  </si>
  <si>
    <t>Торцевая планка 130мм</t>
  </si>
  <si>
    <t>Терр. доска Classic</t>
  </si>
  <si>
    <t>130 х 9 х 4000</t>
  </si>
  <si>
    <t>Рассчитывается по длине торца настила</t>
  </si>
  <si>
    <t>140 х 26 х 4000</t>
  </si>
  <si>
    <t>1,785 доски на 1 кв.м.</t>
  </si>
  <si>
    <t>140 х 26 х 6000</t>
  </si>
  <si>
    <t>1,19 доски на 1 кв.м.</t>
  </si>
  <si>
    <t>Торцевая планка 70мм</t>
  </si>
  <si>
    <t>Терр. доска Light</t>
  </si>
  <si>
    <t>орегон, венге</t>
  </si>
  <si>
    <t>70 х 10 х 3000</t>
  </si>
  <si>
    <r>
      <t xml:space="preserve">Террасная доска MasterDeck Classic </t>
    </r>
    <r>
      <rPr>
        <sz val="10"/>
        <rFont val="Arial Cyr"/>
        <charset val="204"/>
      </rPr>
      <t>(вельвет узкий + тиснение под дерево)</t>
    </r>
  </si>
  <si>
    <t>F – профиль 30х58,5мм анодированный</t>
  </si>
  <si>
    <t>черный, бронза, шампань</t>
  </si>
  <si>
    <t>30 х 58,5 х 3800</t>
  </si>
  <si>
    <t>Рассчитывается по необходимости</t>
  </si>
  <si>
    <t xml:space="preserve">Монтажная рейка MasterDeck </t>
  </si>
  <si>
    <t>Терр. доска Classic и Light, фасадная доска</t>
  </si>
  <si>
    <t>не регламентируется, обычно коричневый</t>
  </si>
  <si>
    <t>30 х 40 х 4000</t>
  </si>
  <si>
    <t>2,75 п.м. на 1 кв.м.</t>
  </si>
  <si>
    <r>
      <t xml:space="preserve">Террасная доска MasterDeck Slim </t>
    </r>
    <r>
      <rPr>
        <sz val="10"/>
        <rFont val="Arial Cyr"/>
        <charset val="204"/>
      </rPr>
      <t xml:space="preserve">(вельвет) </t>
    </r>
  </si>
  <si>
    <t>145 х 23 х 3000</t>
  </si>
  <si>
    <t>2,3 доски на 1 кв.м.</t>
  </si>
  <si>
    <r>
      <t xml:space="preserve">Террасная доска MasterDeck Light </t>
    </r>
    <r>
      <rPr>
        <sz val="10"/>
        <rFont val="Arial Cyr"/>
        <charset val="204"/>
      </rPr>
      <t xml:space="preserve">(вельвет широкий) </t>
    </r>
  </si>
  <si>
    <t>140 х 24 х 3000</t>
  </si>
  <si>
    <t>Лага регулируемая</t>
  </si>
  <si>
    <t>Терр. доска Classic и Light</t>
  </si>
  <si>
    <t>ЛР90</t>
  </si>
  <si>
    <t>высота - от 45 мм до 240 мм
длина - 4000,
на одной лаге 13 регулируемых опор</t>
  </si>
  <si>
    <t>ЛР140</t>
  </si>
  <si>
    <t>Фасадная доска MasterDeck</t>
  </si>
  <si>
    <t>ЛР190</t>
  </si>
  <si>
    <r>
      <t xml:space="preserve">Фасадная доска MasterDeck </t>
    </r>
    <r>
      <rPr>
        <sz val="10"/>
        <rFont val="Arial Cyr"/>
        <charset val="204"/>
      </rPr>
      <t>(тиснение под дерево)</t>
    </r>
  </si>
  <si>
    <t>ЛР240</t>
  </si>
  <si>
    <t>Кляммер 8мм, нержавейка</t>
  </si>
  <si>
    <t>20 шт. на 1 кв.м.</t>
  </si>
  <si>
    <t>Садовый паркет MasterDeck</t>
  </si>
  <si>
    <t>Кляммер 7мм, нержавейка</t>
  </si>
  <si>
    <t>Садовый паркет  MasterDeck</t>
  </si>
  <si>
    <t>венге</t>
  </si>
  <si>
    <t>300 х 300 х 25</t>
  </si>
  <si>
    <t>11 шт. на 1 кв.м., в упаковке 1 кв.м.</t>
  </si>
  <si>
    <t>Клипса, пластик</t>
  </si>
  <si>
    <t>Клипса стартовая, финишная</t>
  </si>
  <si>
    <t>Уголок алюминий 30х30</t>
  </si>
  <si>
    <t>Терр. доска Slim</t>
  </si>
  <si>
    <t>30 х 30 х 3000</t>
  </si>
  <si>
    <t>6.1. Теплицы</t>
  </si>
  <si>
    <t>Профиль угловой для ступени</t>
  </si>
  <si>
    <t>бронза, черный, шампань</t>
  </si>
  <si>
    <t>Размер: Длина/ Ширина/ Высота</t>
  </si>
  <si>
    <t>Цена (руб)</t>
  </si>
  <si>
    <r>
      <t xml:space="preserve">Каркас теплицы </t>
    </r>
    <r>
      <rPr>
        <b/>
        <sz val="10"/>
        <rFont val="Arial Cyr"/>
        <charset val="204"/>
      </rPr>
      <t>АгроПартнер</t>
    </r>
    <r>
      <rPr>
        <sz val="10"/>
        <rFont val="Arial Cyr"/>
        <charset val="204"/>
      </rPr>
      <t xml:space="preserve"> 4м</t>
    </r>
    <r>
      <rPr>
        <b/>
        <sz val="10"/>
        <rFont val="Arial Cyr"/>
        <charset val="204"/>
      </rPr>
      <t xml:space="preserve"> </t>
    </r>
    <r>
      <rPr>
        <sz val="10"/>
        <rFont val="Arial Cyr"/>
        <charset val="204"/>
      </rPr>
      <t>оцинков.</t>
    </r>
    <r>
      <rPr>
        <b/>
        <sz val="10"/>
        <rFont val="Arial Cyr"/>
        <charset val="204"/>
      </rPr>
      <t xml:space="preserve"> т</t>
    </r>
    <r>
      <rPr>
        <sz val="10"/>
        <rFont val="Arial Cyr"/>
        <charset val="204"/>
      </rPr>
      <t>руба</t>
    </r>
    <r>
      <rPr>
        <b/>
        <sz val="10"/>
        <rFont val="Arial Cyr"/>
        <charset val="204"/>
      </rPr>
      <t xml:space="preserve"> </t>
    </r>
    <r>
      <rPr>
        <sz val="10"/>
        <rFont val="Arial Cyr"/>
        <charset val="204"/>
      </rPr>
      <t>25х25, толщина стенки 1.2 мм</t>
    </r>
  </si>
  <si>
    <t>4 х 3 х 2 м</t>
  </si>
  <si>
    <t>Каркас-вставка (удлинение) 2м оцинков. труба 25х25, толщина стенки 1.2 мм</t>
  </si>
  <si>
    <t>2 х 3 х 2 м</t>
  </si>
  <si>
    <t>Универсальный профиль алюминий ламинированный</t>
  </si>
  <si>
    <t>Фасадная доска</t>
  </si>
  <si>
    <t>56 х 56 х 3000 (внешний или внутренний)</t>
  </si>
  <si>
    <t>Рассчитывается по высоте углов фасада</t>
  </si>
  <si>
    <r>
      <t xml:space="preserve">Каркас теплицы </t>
    </r>
    <r>
      <rPr>
        <b/>
        <sz val="10"/>
        <rFont val="Arial Cyr"/>
        <charset val="204"/>
      </rPr>
      <t>АгроПартнер ЭКО</t>
    </r>
    <r>
      <rPr>
        <sz val="10"/>
        <rFont val="Arial Cyr"/>
        <charset val="204"/>
      </rPr>
      <t xml:space="preserve"> оцинк. труба 20х20мм</t>
    </r>
  </si>
  <si>
    <t xml:space="preserve"> 4 х 3 х 2 м </t>
  </si>
  <si>
    <t>Каркас-вставка  (удлинение) 2м оцинк. труба 20х20мм</t>
  </si>
  <si>
    <t xml:space="preserve">Варианты цветов террасной доски:  </t>
  </si>
  <si>
    <r>
      <rPr>
        <b/>
        <sz val="10"/>
        <rFont val="Arial Cyr"/>
        <charset val="204"/>
      </rPr>
      <t>Сотовый поликарбонат Актуаль</t>
    </r>
    <r>
      <rPr>
        <sz val="10"/>
        <rFont val="Arial Cyr"/>
        <charset val="204"/>
      </rPr>
      <t xml:space="preserve"> толщина 4 мм 6м*</t>
    </r>
  </si>
  <si>
    <t>6 х 2,1 м</t>
  </si>
  <si>
    <t>Расчет поликарбоната: На 4м теплицу - 3 листа, На 6м теплицу - 4 листа, На 8м теплицу - 5 листов</t>
  </si>
  <si>
    <t>6.1. Шпалерные столбы NEW</t>
  </si>
  <si>
    <t xml:space="preserve">Варианты цветов фасадной доски: </t>
  </si>
  <si>
    <t>Цена, руб./м</t>
  </si>
  <si>
    <t>Шпалерный столб промежуточный AR ШС 50мм х 40мм х 1,5мм оцинкованный</t>
  </si>
  <si>
    <t>От 1,8 м до 4,3 м</t>
  </si>
  <si>
    <t>Шпалерный столб концевой AR ШС 60мм х 40мм х 2,0мм оцинкованный</t>
  </si>
  <si>
    <t>* - при заказе от 1000 шт действует специальная цена, уточняйте у менеджера по продажам.</t>
  </si>
  <si>
    <t>При заказе террасной доски нестандартной длины берется наценка 10%.</t>
  </si>
  <si>
    <t>В наличие на складе в Верховье (Калужская область) столбы промежуточные длиной 2,5 метра.</t>
  </si>
  <si>
    <t>Срок поставки зависит от профиля, цвета и количества требуемых материалов. Срок усточняйте у менеджера по продажам.</t>
  </si>
  <si>
    <t>Террасная доска МастерДэк</t>
  </si>
  <si>
    <t>Теплицы каркасы</t>
  </si>
  <si>
    <t>Сотовый поликарбонат</t>
  </si>
  <si>
    <r>
      <rPr>
        <b/>
        <sz val="10"/>
        <color indexed="8"/>
        <rFont val="Arial Cyr"/>
        <charset val="204"/>
      </rPr>
      <t>Цены:</t>
    </r>
    <r>
      <rPr>
        <sz val="10"/>
        <color indexed="8"/>
        <rFont val="Arial Cyr"/>
        <charset val="204"/>
      </rPr>
      <t xml:space="preserve"> техническая корерктировка цен террасной доски MasterDeck (6.1)</t>
    </r>
  </si>
  <si>
    <t>Габаритные размеры, мм</t>
  </si>
  <si>
    <t>Рабочие размеры, мм</t>
  </si>
  <si>
    <t>1550 х 338</t>
  </si>
  <si>
    <t>1487 х 306</t>
  </si>
  <si>
    <t>1535 х 345</t>
  </si>
  <si>
    <t>1476 х 312</t>
  </si>
  <si>
    <t>1407 х 327</t>
  </si>
  <si>
    <t>1322 х 294</t>
  </si>
  <si>
    <r>
      <t xml:space="preserve">Панель фасадная GL "ЯФАСАД" 
</t>
    </r>
    <r>
      <rPr>
        <b/>
        <sz val="10"/>
        <rFont val="Arial Cyr"/>
        <charset val="204"/>
      </rPr>
      <t>Демидовский кирпич</t>
    </r>
  </si>
  <si>
    <t>1495 х 339</t>
  </si>
  <si>
    <t>1475 х 306</t>
  </si>
  <si>
    <t>Для панелей ЯФАСАД в качестве доборных элементов используется декоративная система GL ЯФАСАД</t>
  </si>
  <si>
    <t>3.5. Декоративная система GL Я-фасад</t>
  </si>
  <si>
    <t>3.6. Фасадные панели Альта-Профиль  NEW</t>
  </si>
  <si>
    <r>
      <t xml:space="preserve">Панель Альта-Профиль
</t>
    </r>
    <r>
      <rPr>
        <b/>
        <sz val="10"/>
        <rFont val="Arial Cyr"/>
        <charset val="204"/>
      </rPr>
      <t>Гранит</t>
    </r>
  </si>
  <si>
    <t>альпийский, крымский, саянский</t>
  </si>
  <si>
    <t>1130 х 470</t>
  </si>
  <si>
    <t>Угол наружный Альта-Профиль, Гранит</t>
  </si>
  <si>
    <t>470 х 160</t>
  </si>
  <si>
    <r>
      <t xml:space="preserve">Панель Альта-Профиль
</t>
    </r>
    <r>
      <rPr>
        <b/>
        <sz val="10"/>
        <rFont val="Arial Cyr"/>
        <charset val="204"/>
      </rPr>
      <t>Камень</t>
    </r>
  </si>
  <si>
    <t>белый, жженый</t>
  </si>
  <si>
    <t>1140 х 480</t>
  </si>
  <si>
    <t>Угол наружный Альта-Профиль, Камень</t>
  </si>
  <si>
    <t>470 х 110</t>
  </si>
  <si>
    <r>
      <t xml:space="preserve">Панель Альта-Профиль
</t>
    </r>
    <r>
      <rPr>
        <b/>
        <sz val="10"/>
        <rFont val="Arial Cyr"/>
        <charset val="204"/>
      </rPr>
      <t>Природный камень</t>
    </r>
  </si>
  <si>
    <t>известняк, песчаник, сланец</t>
  </si>
  <si>
    <t>Угол наружный Альта-Профиль,Природный камень</t>
  </si>
  <si>
    <r>
      <t xml:space="preserve">Панель Альта-Профиль
</t>
    </r>
    <r>
      <rPr>
        <b/>
        <sz val="10"/>
        <rFont val="Arial Cyr"/>
        <charset val="204"/>
      </rPr>
      <t>Камень скалистый</t>
    </r>
  </si>
  <si>
    <t>Алтай, Тибет</t>
  </si>
  <si>
    <t>1160 х 450</t>
  </si>
  <si>
    <t>Угол наружный Альта-Профиль, Камень скалистый</t>
  </si>
  <si>
    <t>450 х 160</t>
  </si>
  <si>
    <r>
      <t xml:space="preserve">Панель Альта-Профиль
</t>
    </r>
    <r>
      <rPr>
        <b/>
        <sz val="10"/>
        <rFont val="Arial Cyr"/>
        <charset val="204"/>
      </rPr>
      <t>Кирпич</t>
    </r>
  </si>
  <si>
    <t>Угол наружный Альта-Профиль, Кирпич</t>
  </si>
  <si>
    <t>470 х 100</t>
  </si>
  <si>
    <t>3.6. Фасадные панели VOX</t>
  </si>
  <si>
    <t>Calabria глиняный, Lazio светлая глина, Liguria ванильный, Toscana серый, Umbria коричневый, Sicily темно-коричневый</t>
  </si>
  <si>
    <t>3.6. Фасадная плитка Hauberk (Хауберк)</t>
  </si>
  <si>
    <t>Панали и аксессуары Альта-Профиль</t>
  </si>
  <si>
    <t>3.9. Навесная фасадная система GL</t>
  </si>
  <si>
    <t>3.8. Профили для гипсокартона</t>
  </si>
  <si>
    <t>3.6. Фасадные панели Альта-Профиль, VOX, плитка Хауберк</t>
  </si>
  <si>
    <t>Альта-Профиль</t>
  </si>
  <si>
    <t xml:space="preserve"> 3.8</t>
  </si>
  <si>
    <t xml:space="preserve"> 3.1, 3.7</t>
  </si>
  <si>
    <t>3.7. Фиброцементный сайдинг - Cedral (Eternit)</t>
  </si>
  <si>
    <t>3.8. Профиль для гипсокартона</t>
  </si>
  <si>
    <t>3.9. Навесная фасадная система  Grand Line для ИЖС</t>
  </si>
  <si>
    <t>3.9. Навесная фасадная система Grand Line для ПГС</t>
  </si>
  <si>
    <r>
      <t xml:space="preserve">UNIVERSAL 2К </t>
    </r>
    <r>
      <rPr>
        <sz val="10"/>
        <color indexed="8"/>
        <rFont val="Arial Cyr"/>
        <charset val="204"/>
      </rPr>
      <t xml:space="preserve">(в комплект входит 2К-уплотнитель гидрозатвора). </t>
    </r>
    <r>
      <rPr>
        <sz val="10"/>
        <color indexed="10"/>
        <rFont val="Arial Cyr"/>
        <charset val="204"/>
      </rPr>
      <t>Распродажа исходя из складских остатоков на складе производителя.</t>
    </r>
  </si>
  <si>
    <r>
      <t xml:space="preserve">UNITILE 2K </t>
    </r>
    <r>
      <rPr>
        <sz val="10"/>
        <color indexed="8"/>
        <rFont val="Arial Cyr"/>
        <charset val="204"/>
      </rPr>
      <t>(в комплект входит 2К-уплотнитель гидрозатвора).</t>
    </r>
    <r>
      <rPr>
        <sz val="10"/>
        <color indexed="10"/>
        <rFont val="Arial Cyr"/>
        <charset val="204"/>
      </rPr>
      <t xml:space="preserve"> </t>
    </r>
    <r>
      <rPr>
        <b/>
        <sz val="10"/>
        <color indexed="10"/>
        <rFont val="Arial Cyr"/>
        <charset val="204"/>
      </rPr>
      <t>NEW</t>
    </r>
  </si>
  <si>
    <t>цементно-песчаная и керамическая черепица (все виды), вместо UNIVERSAL 2К</t>
  </si>
  <si>
    <t>RR33, RR32, RR29, RR750</t>
  </si>
  <si>
    <t>RR11, RR23</t>
  </si>
  <si>
    <t>Страна пр-ва</t>
  </si>
  <si>
    <r>
      <t xml:space="preserve">Пароизоляционные пленки.   </t>
    </r>
    <r>
      <rPr>
        <sz val="10"/>
        <color indexed="10"/>
        <rFont val="Arial Cyr"/>
        <charset val="204"/>
      </rPr>
      <t>Обязательно проклеивать соединительной лентой/клеем на перехлестах и напусках на стены и конструкции,т.к. непроклеенный стык не является достаточно герметичным!</t>
    </r>
  </si>
  <si>
    <r>
      <t xml:space="preserve">Tyvek AirGuard Reflective </t>
    </r>
    <r>
      <rPr>
        <b/>
        <sz val="10"/>
        <color indexed="10"/>
        <rFont val="Arial Cyr"/>
        <charset val="204"/>
      </rPr>
      <t>NEW</t>
    </r>
  </si>
  <si>
    <t>Отражающая пароизоляционная пленка</t>
  </si>
  <si>
    <t xml:space="preserve">149 г/м² </t>
  </si>
  <si>
    <t>50 мм х 30 м</t>
  </si>
  <si>
    <t>60 мм х 30 м</t>
  </si>
  <si>
    <t>Односторонняя алюминиевая соединительная лента</t>
  </si>
  <si>
    <t>50 мм х 40 м</t>
  </si>
  <si>
    <t>50 мм х 20 м</t>
  </si>
  <si>
    <t>60 мм х 25 м</t>
  </si>
  <si>
    <r>
      <t xml:space="preserve">Tyvek Acrilyc Tape </t>
    </r>
    <r>
      <rPr>
        <b/>
        <sz val="10"/>
        <color indexed="10"/>
        <rFont val="Arial Cyr"/>
        <charset val="204"/>
      </rPr>
      <t>NEW</t>
    </r>
  </si>
  <si>
    <t xml:space="preserve">Односторонняя акриловая соединительная и герметизирующая лента </t>
  </si>
  <si>
    <t>75 мм х 25 м</t>
  </si>
  <si>
    <t>60 мм х 40 м</t>
  </si>
  <si>
    <r>
      <t xml:space="preserve">Grand Line Butyl Duo Pro </t>
    </r>
    <r>
      <rPr>
        <b/>
        <sz val="10"/>
        <color indexed="10"/>
        <rFont val="Arial Cyr"/>
        <charset val="204"/>
      </rPr>
      <t>NEW</t>
    </r>
  </si>
  <si>
    <t xml:space="preserve">Двухсторонняя армированная соединительная бутил-каучуковая лента </t>
  </si>
  <si>
    <t>15 мм х 25 м</t>
  </si>
  <si>
    <t xml:space="preserve">Двухсторонняя армированная соединительная лента </t>
  </si>
  <si>
    <t>30 мм х 25 м</t>
  </si>
  <si>
    <t>50 мм х 25 м</t>
  </si>
  <si>
    <t>38 мм х 50 м</t>
  </si>
  <si>
    <t xml:space="preserve">VELUX GGL 3073 (модель "комфорт" класса) c верхним открыванием ** </t>
  </si>
  <si>
    <t>Сенсорный пульт KLR 200</t>
  </si>
  <si>
    <t>Оклад EWK 0031 (составной оклад из 0021 + 0002)</t>
  </si>
  <si>
    <t>Оклад ESK 0031 (составной оклад из 0021 + 0002)</t>
  </si>
  <si>
    <t>Оклад EWK 0012 (составной оклад из 0021 + 0007)</t>
  </si>
  <si>
    <t>Оклад ESK 0012 (составной оклад из 0021 + 0007)</t>
  </si>
  <si>
    <t xml:space="preserve">VELUX GGU  0066IS2 (модель "супертеплое полиуретан") </t>
  </si>
  <si>
    <t>Электромотор KMG</t>
  </si>
  <si>
    <t>Система управления KUX 110 EU</t>
  </si>
  <si>
    <t xml:space="preserve">Комплект на солн. батарее KSX 100K </t>
  </si>
  <si>
    <t>Защитная пленка в Обн., НН, Врн. для нанесения на всю продукцию, СПб. для нанесения на всю продукцию кроме мет.сайдинга</t>
  </si>
  <si>
    <t>Защитная пленка в СПб для нанесения на металлический сайдинг</t>
  </si>
  <si>
    <t>Защитная пленка (фиксированная цена)</t>
  </si>
  <si>
    <t>Защитная пленка (фиксированная цена) в Обн., НН, Врн. для нанесения на всю продукцию, СПб. для нанесения на всю продукцию кроме мет.сайдинга</t>
  </si>
  <si>
    <t>Защитная пленка (фиксированная цена) в СПб. для нанесения на металлический сайдинг</t>
  </si>
  <si>
    <r>
      <rPr>
        <b/>
        <sz val="10"/>
        <rFont val="Arial Cyr"/>
        <charset val="204"/>
      </rPr>
      <t>Защитная пленка</t>
    </r>
    <r>
      <rPr>
        <sz val="10"/>
        <rFont val="Arial Cyr"/>
        <charset val="204"/>
      </rPr>
      <t xml:space="preserve"> (фиксированная цена)</t>
    </r>
  </si>
  <si>
    <t>Шуруп-шпилька М6х120</t>
  </si>
  <si>
    <t>Шуруп-шпилька М6х140</t>
  </si>
  <si>
    <t>Цены действительны при отгрузке со склада поставщика. Стоимость доставки уточняйте у менеджера.</t>
  </si>
  <si>
    <r>
      <rPr>
        <b/>
        <sz val="10"/>
        <color indexed="8"/>
        <rFont val="Arial Cyr"/>
        <charset val="204"/>
      </rPr>
      <t xml:space="preserve">Цены: </t>
    </r>
    <r>
      <rPr>
        <sz val="10"/>
        <color indexed="8"/>
        <rFont val="Arial Cyr"/>
        <charset val="204"/>
      </rPr>
      <t xml:space="preserve">мансардные окна VELUX (1.22, 1.23), утеплитель ROCKWOOL - цена увеличена, в связи с отсутствием информации от поставщика новые цены уточняйте у менеджера (5.3) Санкт-Петербург - цена защитной пленки (в.п., 3.1) </t>
    </r>
    <r>
      <rPr>
        <b/>
        <sz val="10"/>
        <color indexed="8"/>
        <rFont val="Arial Cyr"/>
        <charset val="204"/>
      </rPr>
      <t>Изменение ассортимента:</t>
    </r>
    <r>
      <rPr>
        <sz val="10"/>
        <color indexed="8"/>
        <rFont val="Arial Cyr"/>
        <charset val="204"/>
      </rPr>
      <t xml:space="preserve"> Кликфальц и Кликфальц mini в покрытиях GreenCoat Pural, Pural Matt не производим (в.п., 1.1, 1.3, 3.1). Нижний-Новгород - убрали цену ПН С10 фигурный в покрытии Print желтое дерево (в.п., 4.1), убрали приписку "НН" у ПН НС35 в покрытиях Colority Print, PE 0,45, Zn 0,45 (в.п., 1.1, 2.1, 3.1, 4.1). </t>
    </r>
    <r>
      <rPr>
        <b/>
        <sz val="10"/>
        <color indexed="8"/>
        <rFont val="Arial Cyr"/>
        <charset val="204"/>
      </rPr>
      <t>Новинка:</t>
    </r>
    <r>
      <rPr>
        <sz val="10"/>
        <color indexed="8"/>
        <rFont val="Arial Cyr"/>
        <charset val="204"/>
      </rPr>
      <t xml:space="preserve"> фасадные панели Альта-Профиль (3.6), проходной элемент UNITILE 2K Vilpe (1.17), лента и пароизоляция Tyvek (5.1), добавлены шурупы-шпильки к пластиковому водостоку GL (1.14). </t>
    </r>
    <r>
      <rPr>
        <b/>
        <sz val="10"/>
        <color indexed="8"/>
        <rFont val="Arial Cyr"/>
        <charset val="204"/>
      </rPr>
      <t>Иное:</t>
    </r>
    <r>
      <rPr>
        <sz val="10"/>
        <color indexed="8"/>
        <rFont val="Arial Cyr"/>
        <charset val="204"/>
      </rPr>
      <t xml:space="preserve"> фасадные панели VOX и плитку Хауберк перенесены в раздел 3.6, декоративная система ЯФасад перенесена в раздел 3.5, дальнейная нумерация раздела 3 смещена;  в системе водостока 125/90 нет крюка короткого из стальной полосы (1.12).  </t>
    </r>
    <r>
      <rPr>
        <b/>
        <sz val="10"/>
        <color indexed="8"/>
        <rFont val="Arial Cyr"/>
        <charset val="204"/>
      </rPr>
      <t xml:space="preserve">Примечание: </t>
    </r>
    <r>
      <rPr>
        <sz val="10"/>
        <color indexed="8"/>
        <rFont val="Arial Cyr"/>
        <charset val="204"/>
      </rPr>
      <t>добавлено примечание на стр. 1.11</t>
    </r>
  </si>
  <si>
    <r>
      <rPr>
        <b/>
        <sz val="10"/>
        <color indexed="8"/>
        <rFont val="Arial Cyr"/>
        <charset val="204"/>
      </rPr>
      <t>Цены:</t>
    </r>
    <r>
      <rPr>
        <sz val="10"/>
        <color indexed="8"/>
        <rFont val="Arial Cyr"/>
        <charset val="204"/>
      </rPr>
      <t xml:space="preserve"> инструмент (5.6)</t>
    </r>
  </si>
  <si>
    <r>
      <rPr>
        <b/>
        <sz val="10"/>
        <color indexed="8"/>
        <rFont val="Arial Cyr"/>
        <charset val="204"/>
      </rPr>
      <t>Цены</t>
    </r>
    <r>
      <rPr>
        <sz val="10"/>
        <color indexed="8"/>
        <rFont val="Arial Cyr"/>
        <charset val="204"/>
      </rPr>
      <t>. ГК-профиль (3.8); корректировка цены окон Велюкс (1.22).</t>
    </r>
  </si>
  <si>
    <t>янтарь, жемчуг</t>
  </si>
  <si>
    <t>Площадка монтажная</t>
  </si>
  <si>
    <t xml:space="preserve">Металлочерепица Classic plus </t>
  </si>
  <si>
    <r>
      <rPr>
        <b/>
        <sz val="10"/>
        <color indexed="8"/>
        <rFont val="Arial Cyr"/>
        <charset val="204"/>
      </rPr>
      <t>Цены</t>
    </r>
    <r>
      <rPr>
        <sz val="10"/>
        <color indexed="8"/>
        <rFont val="Arial Cyr"/>
        <charset val="204"/>
      </rPr>
      <t xml:space="preserve">. Карбон Крр (5.4); акция ЯФАСАД (3.5); утеплитель Роквул (5.3); установлена цена мч Классик + (1.1) </t>
    </r>
    <r>
      <rPr>
        <b/>
        <sz val="10"/>
        <color indexed="8"/>
        <rFont val="Arial Cyr"/>
        <charset val="204"/>
      </rPr>
      <t>Иное</t>
    </r>
    <r>
      <rPr>
        <sz val="10"/>
        <color indexed="8"/>
        <rFont val="Arial Cyr"/>
        <charset val="204"/>
      </rPr>
      <t>: Скорректирована номенклатура (1.20)</t>
    </r>
  </si>
  <si>
    <r>
      <rPr>
        <b/>
        <sz val="10"/>
        <color indexed="8"/>
        <rFont val="Arial Cyr"/>
        <charset val="204"/>
      </rPr>
      <t>Цены</t>
    </r>
    <r>
      <rPr>
        <sz val="10"/>
        <color indexed="8"/>
        <rFont val="Arial Cyr"/>
        <charset val="204"/>
      </rPr>
      <t>: ГК-профиль СПб и КРР (3.8);</t>
    </r>
    <r>
      <rPr>
        <b/>
        <sz val="10"/>
        <color indexed="8"/>
        <rFont val="Arial Cyr"/>
        <charset val="204"/>
      </rPr>
      <t xml:space="preserve"> Иное </t>
    </r>
    <r>
      <rPr>
        <sz val="10"/>
        <color indexed="8"/>
        <rFont val="Arial Cyr"/>
        <charset val="204"/>
      </rPr>
      <t xml:space="preserve">завершена распродажа дэ КМЧ GL (1.7), добавлен новый адрес </t>
    </r>
  </si>
  <si>
    <t>Сэндвич 1м, крышная разделка, зонт с ветрозащитой</t>
  </si>
  <si>
    <t>Кронштейн раздвижной, площадка монтажная, оголовок, сэндвич 0,5 м, сэндвич колено 90/135, сэндвич тройник 90/135</t>
  </si>
  <si>
    <t>Стеновой хому, конденсатоотвод, заглушка, сэндвич 0,25 м, старт-сэндвич, конус</t>
  </si>
  <si>
    <t>Штанга, фланец, хомут</t>
  </si>
  <si>
    <t>1 категория</t>
  </si>
  <si>
    <t>2 категория</t>
  </si>
  <si>
    <t>3 категория</t>
  </si>
  <si>
    <t>4 категория</t>
  </si>
  <si>
    <t>Доступные цвета окраски: RAL 3001, 3005, 3020, 6005, 5002, 5005, 7024, 8017, 9003, 9005, 9005SK</t>
  </si>
  <si>
    <r>
      <rPr>
        <b/>
        <sz val="10"/>
        <color indexed="8"/>
        <rFont val="Arial Cyr"/>
        <charset val="204"/>
      </rPr>
      <t>Цены:</t>
    </r>
    <r>
      <rPr>
        <sz val="10"/>
        <color indexed="8"/>
        <rFont val="Arial Cyr"/>
        <charset val="204"/>
      </rPr>
      <t xml:space="preserve"> ГК-профиль Воронеж (3.8) сотовый поликарбонат (6.1)</t>
    </r>
  </si>
  <si>
    <t xml:space="preserve"> 3.1, 3.9</t>
  </si>
  <si>
    <r>
      <t xml:space="preserve">Окно FTS-V U2 Standart (стандартная модель). </t>
    </r>
    <r>
      <rPr>
        <b/>
        <sz val="10"/>
        <color indexed="10"/>
        <rFont val="Arial Cyr"/>
        <charset val="204"/>
      </rPr>
      <t>Распродажа со склада</t>
    </r>
  </si>
  <si>
    <t>Окно FTS U2 Standart</t>
  </si>
  <si>
    <t>Окно FTP-V U3 Profi</t>
  </si>
  <si>
    <t>Окно FPP-V U3 PreSelect (окно с комбинированной системой открывания)</t>
  </si>
  <si>
    <t>60*40*1,4
(втулки М6)</t>
  </si>
  <si>
    <t xml:space="preserve">Classic plus </t>
  </si>
  <si>
    <r>
      <rPr>
        <b/>
        <sz val="10"/>
        <color indexed="8"/>
        <rFont val="Arial Cyr"/>
        <charset val="204"/>
      </rPr>
      <t xml:space="preserve">Цены: </t>
    </r>
    <r>
      <rPr>
        <sz val="10"/>
        <color indexed="8"/>
        <rFont val="Arial Cyr"/>
        <charset val="204"/>
      </rPr>
      <t xml:space="preserve">профилированная продукция в покрытиях Quarzit, Quarzit lite, Velur, Atlas, Polydexter, Polydexter Matt, Стальной Бархат, PE Дачный производство (в.п., 1.1, 1.2, 1.3, 3.1, 4.1),  элементы панельных ограждений (4.3). </t>
    </r>
    <r>
      <rPr>
        <b/>
        <sz val="10"/>
        <color indexed="8"/>
        <rFont val="Arial Cyr"/>
        <charset val="204"/>
      </rPr>
      <t>Новинка:</t>
    </r>
    <r>
      <rPr>
        <sz val="10"/>
        <color indexed="8"/>
        <rFont val="Arial Cyr"/>
        <charset val="204"/>
      </rPr>
      <t xml:space="preserve"> мансардное окно Fakro (1.21)</t>
    </r>
  </si>
  <si>
    <t>Пластина AR П50х155х2,0</t>
  </si>
  <si>
    <t>(10) На изделиях в покрытии Colority Print на больших поверхностях возможна видимая повторяемость рисунка</t>
  </si>
  <si>
    <t>Colority
Print dp (10)</t>
  </si>
  <si>
    <t>Colority
Print (10)</t>
  </si>
  <si>
    <t>(6) На изделиях в покрытии Colority Print на больших поверхностях возможна видимая повторяемость рисунка</t>
  </si>
  <si>
    <t>(7) На изделиях в покрытии Colority Print на больших поверхностях возможна видимая повторяемость рисунка</t>
  </si>
  <si>
    <t>Colority  Print (7)</t>
  </si>
  <si>
    <t>Colority  Print dp (6)</t>
  </si>
  <si>
    <t>Colority  Print (6)</t>
  </si>
  <si>
    <t>(9) На изделиях в покрытии Colority Print на больших поверхностях возможна видимая повторяемость рисунка</t>
  </si>
  <si>
    <t>Colority  Print dp (9)</t>
  </si>
  <si>
    <t>Colority  Print (9)</t>
  </si>
  <si>
    <t>Инструмент для загиба крюков 720мм Grand Line</t>
  </si>
  <si>
    <r>
      <rPr>
        <b/>
        <sz val="10"/>
        <color indexed="8"/>
        <rFont val="Arial Cyr"/>
        <charset val="204"/>
      </rPr>
      <t xml:space="preserve">Цены: </t>
    </r>
    <r>
      <rPr>
        <sz val="10"/>
        <color indexed="8"/>
        <rFont val="Arial Cyr"/>
        <charset val="204"/>
      </rPr>
      <t xml:space="preserve">инструмент (5.5, в.п., 1.1, 1.2, 1.18, 1.19), навесная фасадная система (3.9), указана цена за сотовый поликарбонат (6.1), техническая корректировка цены плоского листа, штрипсы и отмотки в покрытии Velur (в.п., 1.1, 1.2, 1.3, 4.1). </t>
    </r>
    <r>
      <rPr>
        <b/>
        <sz val="10"/>
        <color indexed="8"/>
        <rFont val="Arial Cyr"/>
        <charset val="204"/>
      </rPr>
      <t xml:space="preserve">Иное: </t>
    </r>
    <r>
      <rPr>
        <sz val="10"/>
        <color indexed="8"/>
        <rFont val="Arial Cyr"/>
        <charset val="204"/>
      </rPr>
      <t>добавлено примечание про покрытие Colority
Print  (в.п., 1.1, 1.3, 3.1, 4.1)</t>
    </r>
  </si>
  <si>
    <t>Сайдинг CEDRAL wood
(фактура под дерево)</t>
  </si>
  <si>
    <r>
      <t>На складе в России:</t>
    </r>
    <r>
      <rPr>
        <sz val="10"/>
        <color indexed="8"/>
        <rFont val="Arial Cyr"/>
        <charset val="204"/>
      </rPr>
      <t xml:space="preserve"> С01, С02, С03, С04, С05, С07, С08, С10, С11, С15, С21, С30, С32, С51, С55, С61. 
</t>
    </r>
    <r>
      <rPr>
        <b/>
        <sz val="10"/>
        <color indexed="8"/>
        <rFont val="Arial Cyr"/>
        <charset val="204"/>
      </rPr>
      <t>Под заказ, срок поставки* от 10 раб.дней:</t>
    </r>
    <r>
      <rPr>
        <sz val="10"/>
        <color indexed="8"/>
        <rFont val="Arial Cyr"/>
        <charset val="204"/>
      </rPr>
      <t xml:space="preserve"> С19, С50.
</t>
    </r>
    <r>
      <rPr>
        <b/>
        <sz val="10"/>
        <rFont val="Arial Cyr"/>
        <charset val="204"/>
      </rPr>
      <t>Под заказ, срок поставки* от 20 раб.дней:</t>
    </r>
    <r>
      <rPr>
        <sz val="10"/>
        <color indexed="8"/>
        <rFont val="Arial Cyr"/>
        <charset val="204"/>
      </rPr>
      <t xml:space="preserve"> С06, С14, С18, С31, С52, С53, С54, С56, С57, С58, С59, С60, С62</t>
    </r>
  </si>
  <si>
    <t>190х3600 мм, толщина 10 мм, вес 10,9 кг/шт</t>
  </si>
  <si>
    <t>Сайдинг CEDRAL click wood
(фактура под дерево)</t>
  </si>
  <si>
    <r>
      <t xml:space="preserve">На складе в России: </t>
    </r>
    <r>
      <rPr>
        <sz val="10"/>
        <color indexed="8"/>
        <rFont val="Arial Cyr"/>
        <charset val="204"/>
      </rPr>
      <t xml:space="preserve">С01, С02, С04, С10, С30. 
</t>
    </r>
    <r>
      <rPr>
        <b/>
        <sz val="10"/>
        <color indexed="8"/>
        <rFont val="Arial Cyr"/>
        <charset val="204"/>
      </rPr>
      <t>Под заказ, срок поставки* от 20 раб.дней:</t>
    </r>
    <r>
      <rPr>
        <sz val="10"/>
        <color indexed="8"/>
        <rFont val="Arial Cyr"/>
        <charset val="204"/>
      </rPr>
      <t xml:space="preserve"> С03, С05, С07, С08, С10, С15, С18, С31, С32, С50, С51, С52, С53, С54, С55, С56, C57, C58, C59, C60, C61, C62.
</t>
    </r>
    <r>
      <rPr>
        <b/>
        <sz val="10"/>
        <color indexed="8"/>
        <rFont val="Arial Cyr"/>
        <charset val="204"/>
      </rPr>
      <t xml:space="preserve">Под заказ, срок поставки* от 40 раб.дней: </t>
    </r>
    <r>
      <rPr>
        <sz val="10"/>
        <color indexed="8"/>
        <rFont val="Arial Cyr"/>
        <charset val="204"/>
      </rPr>
      <t xml:space="preserve">С19. 
</t>
    </r>
    <r>
      <rPr>
        <b/>
        <sz val="10"/>
        <color indexed="8"/>
        <rFont val="Arial Cyr"/>
        <charset val="204"/>
      </rPr>
      <t>Под заказ, срок поставки* от 60 раб.дней:</t>
    </r>
    <r>
      <rPr>
        <sz val="10"/>
        <color indexed="8"/>
        <rFont val="Arial Cyr"/>
        <charset val="204"/>
      </rPr>
      <t xml:space="preserve"> С14, С21.</t>
    </r>
  </si>
  <si>
    <t>186х3600 мм, толщина 12 мм, вес 12,2 кг/шт</t>
  </si>
  <si>
    <t>Сайдинг CEDRAL smooth
(фактура гладкая)</t>
  </si>
  <si>
    <r>
      <t xml:space="preserve">Под заказ, срок поставки* от 20 раб.дней: </t>
    </r>
    <r>
      <rPr>
        <sz val="10"/>
        <color indexed="8"/>
        <rFont val="Arial Cyr"/>
        <charset val="204"/>
      </rPr>
      <t xml:space="preserve">С01, С02, С03, С04, С05, С07, С14, С15, С18, С50, С51, С52, С53, С54, С55, С56, С61. 
</t>
    </r>
    <r>
      <rPr>
        <b/>
        <sz val="10"/>
        <color indexed="8"/>
        <rFont val="Arial Cyr"/>
        <charset val="204"/>
      </rPr>
      <t>Под заказ, срок поставки* от 40 раб.дней:</t>
    </r>
    <r>
      <rPr>
        <sz val="10"/>
        <color indexed="8"/>
        <rFont val="Arial Cyr"/>
        <charset val="204"/>
      </rPr>
      <t xml:space="preserve"> С10, С11, С19. 
</t>
    </r>
    <r>
      <rPr>
        <b/>
        <sz val="10"/>
        <color indexed="8"/>
        <rFont val="Arial Cyr"/>
        <charset val="204"/>
      </rPr>
      <t>Под заказ, срок поставки* от 60 раб.дней:</t>
    </r>
    <r>
      <rPr>
        <sz val="10"/>
        <color indexed="8"/>
        <rFont val="Arial Cyr"/>
        <charset val="204"/>
      </rPr>
      <t xml:space="preserve"> С06, С08, С30, С31, С32, С57, С58, С59, С60, С62</t>
    </r>
  </si>
  <si>
    <t>Сайдинг CEDRAL click smooth
(фактура гладкая)</t>
  </si>
  <si>
    <r>
      <t xml:space="preserve">Под заказ, срок поставки* от 20 раб.дней: </t>
    </r>
    <r>
      <rPr>
        <sz val="10"/>
        <color indexed="8"/>
        <rFont val="Arial Cyr"/>
        <charset val="204"/>
      </rPr>
      <t xml:space="preserve">С01, С02, С03, С04, С05, С07, С08, С14, С15, С18, С50, С52, С53, С54, С55, С55, С56, С59, С60, С61. 
</t>
    </r>
    <r>
      <rPr>
        <b/>
        <sz val="10"/>
        <color indexed="8"/>
        <rFont val="Arial Cyr"/>
        <charset val="204"/>
      </rPr>
      <t xml:space="preserve">Под заказ, срок поставки* от 40 раб.дней: </t>
    </r>
    <r>
      <rPr>
        <sz val="10"/>
        <color indexed="8"/>
        <rFont val="Arial Cyr"/>
        <charset val="204"/>
      </rPr>
      <t xml:space="preserve">С10, С11, С19.
</t>
    </r>
    <r>
      <rPr>
        <b/>
        <sz val="10"/>
        <color indexed="8"/>
        <rFont val="Arial Cyr"/>
        <charset val="204"/>
      </rPr>
      <t>Под заказ, срок поставки* от 60 раб.дней:</t>
    </r>
    <r>
      <rPr>
        <sz val="10"/>
        <color indexed="8"/>
        <rFont val="Arial Cyr"/>
        <charset val="204"/>
      </rPr>
      <t xml:space="preserve"> С06, С30, С31, С32, С51, С57, С58, С62</t>
    </r>
  </si>
  <si>
    <t>от 15 раб. дней*</t>
  </si>
  <si>
    <t>от 20 раб. дней*</t>
  </si>
  <si>
    <r>
      <rPr>
        <b/>
        <sz val="10"/>
        <color indexed="8"/>
        <rFont val="Arial Cyr"/>
        <charset val="204"/>
      </rPr>
      <t>Цветовая гамма:</t>
    </r>
    <r>
      <rPr>
        <sz val="10"/>
        <color indexed="8"/>
        <rFont val="Arial Cyr"/>
        <charset val="204"/>
      </rPr>
      <t xml:space="preserve"> C01 белый минерал, C02 солнечный лес, C03 белый песок, C04 ночной лес, C05 серый минерал, C06 дождливый океан, C07 зимний лес, C08 берёзовая роща, C10 прозрачный океан, C11 золотой песок, C14 белая глина, C15 северный океан, C18 ночной океан, C19 грозовой океан, C21 коричневая глина, C30 тёплая земля, C31 зеленый океан, C32 бурая земля, C50 тёмный минерал, C51 серебристый минерал, C52 жемчужный минерал, C53 сиена минерал, C54 пепельный минерал, C55 кремовая глина, C56 прохладный минерал, C57 весенний лес, C58 осенний лес, C59 дождливый лес, C60 сумеречный лес, C61 красная земля, C62 голубой океан</t>
    </r>
  </si>
  <si>
    <r>
      <t xml:space="preserve">3.7. Фиброцементный сайдинг - Мирко </t>
    </r>
    <r>
      <rPr>
        <b/>
        <sz val="14"/>
        <color indexed="10"/>
        <rFont val="Arial Cyr"/>
        <charset val="204"/>
      </rPr>
      <t>NEW</t>
    </r>
  </si>
  <si>
    <t>Сайдинг Мирко 7,5 под дерево (текстура кедра)</t>
  </si>
  <si>
    <t>190х3600 мм, толщина 7,5 мм, вес 7,4 кг/шт</t>
  </si>
  <si>
    <t>Сайдинг Мирко 7,5 гладкий</t>
  </si>
  <si>
    <t>МиркоКолорРейдж: С001, С002, С003, С004, С005, С006, С007, С008, С009, С0010, С0011, С012, С0013, С014, С015, С0016, С017, С018, С019, С020, С021, С022, С023</t>
  </si>
  <si>
    <t>ДОБОРНЫЕ ЭЛЕМЕНТЫ</t>
  </si>
  <si>
    <t>Количество в упаковке</t>
  </si>
  <si>
    <t>Цена руб/упак.</t>
  </si>
  <si>
    <t>Саморез Мирко 4х45 оцинк. сталь для стальной обрешетки</t>
  </si>
  <si>
    <t>для скрытого крепления</t>
  </si>
  <si>
    <t>500 шт.</t>
  </si>
  <si>
    <t>Лента EPDM 36 мм</t>
  </si>
  <si>
    <t>уплотнительная лента</t>
  </si>
  <si>
    <t>50 м.п.</t>
  </si>
  <si>
    <t>Саморез Мирко 4х45 оцинк. сталь для деревянной обрешетки</t>
  </si>
  <si>
    <t>Лента EPDM 60 мм</t>
  </si>
  <si>
    <t>Саморез Мирко 6х50 нерж. сталь для стальной обрешетки</t>
  </si>
  <si>
    <t>для видимого крепления</t>
  </si>
  <si>
    <t>150 шт.</t>
  </si>
  <si>
    <t>Краска для ретуши Мирко Колор Рейндж</t>
  </si>
  <si>
    <t>для ретуши</t>
  </si>
  <si>
    <t>100 гр.</t>
  </si>
  <si>
    <t>Саморез Мирко 6х50 нерж. сталь для деревянной обрешетки</t>
  </si>
  <si>
    <t>500 гр.</t>
  </si>
  <si>
    <t xml:space="preserve">Сроки поставки 2-4 недели. Доставка на любой региональный склад Grand Line бесплатная при заказе на сумму от 190 000 руб. Если сумма заказа менее 190 000 руб., то стоимость доставки уточняйте у менеджера.
</t>
  </si>
  <si>
    <r>
      <rPr>
        <b/>
        <sz val="10"/>
        <rFont val="Arial Cyr"/>
        <charset val="204"/>
      </rPr>
      <t>Цветовая гамма:</t>
    </r>
    <r>
      <rPr>
        <sz val="10"/>
        <rFont val="Arial Cyr"/>
        <charset val="204"/>
      </rPr>
      <t xml:space="preserve"> бежевый песчаник (С001), речной песок (С002), кремовый десерт (С003), слоновая кость (С004), розовый жемчуг (С005), пустынный хаки (С006), зеленая оливка (С007), фисташковое дерево (С008), горный луг (С009), воронежская сталь (С010), хвоя кедра (С011), меч самурая (С012), ствой бука (С013), грецкий орех (С014), серый чугун (С015), речная галька (С016), серый цемент (С017), песчаная буря (С018), кирпичный лофт (С019), пепельно-белый (С020), бежевый песчаник (С021), мокрая бумага (С022), снег Арктики (С023)</t>
    </r>
  </si>
  <si>
    <t>3.7. Фиброцементный сайдинг Cedral, Мирко</t>
  </si>
  <si>
    <t>Мирко</t>
  </si>
  <si>
    <t>3.5. Фасадные панели GL "ЯФАСАД"</t>
  </si>
  <si>
    <t>3.5. Полипропиленовые фасадные панели Grand Line NEW</t>
  </si>
  <si>
    <r>
      <t xml:space="preserve">Панель фасадная Grand Line
полипропиленовая
</t>
    </r>
    <r>
      <rPr>
        <b/>
        <sz val="10"/>
        <rFont val="Arial Cyr"/>
        <charset val="204"/>
      </rPr>
      <t>Клинкерный кирпич</t>
    </r>
  </si>
  <si>
    <t>1105 х 417</t>
  </si>
  <si>
    <t>968 х 390</t>
  </si>
  <si>
    <r>
      <t xml:space="preserve">Панель фасадная Grand Line
полипропиленовая
</t>
    </r>
    <r>
      <rPr>
        <b/>
        <sz val="10"/>
        <rFont val="Arial Cyr"/>
        <charset val="204"/>
      </rPr>
      <t>Состаренный кирпич</t>
    </r>
  </si>
  <si>
    <t>1109 х 418</t>
  </si>
  <si>
    <t>995 х 390</t>
  </si>
  <si>
    <t>Угол фасадной панели наружный</t>
  </si>
  <si>
    <t>Панель фасадная GL "ЯФАСАД"</t>
  </si>
  <si>
    <t>Панель фасадная Grand Line
полипропиленовая</t>
  </si>
  <si>
    <t>Фасадные панели</t>
  </si>
  <si>
    <t xml:space="preserve"> 3.5, 3.6</t>
  </si>
  <si>
    <r>
      <t xml:space="preserve">Комплектующие водосточной системы </t>
    </r>
    <r>
      <rPr>
        <b/>
        <sz val="10"/>
        <color indexed="10"/>
        <rFont val="Arial Cyr"/>
        <charset val="204"/>
      </rPr>
      <t>NEW</t>
    </r>
  </si>
  <si>
    <r>
      <t xml:space="preserve">Сетка воронки "Паук", RR32 </t>
    </r>
    <r>
      <rPr>
        <b/>
        <sz val="10"/>
        <color indexed="10"/>
        <rFont val="Arial Cyr"/>
        <charset val="204"/>
      </rPr>
      <t>NEW</t>
    </r>
  </si>
  <si>
    <t>90/125</t>
  </si>
  <si>
    <t xml:space="preserve">Сетка воронки "Паук" </t>
  </si>
  <si>
    <r>
      <t xml:space="preserve">Сетка воронки "Паук", 90/125, RR32 </t>
    </r>
    <r>
      <rPr>
        <b/>
        <sz val="10"/>
        <color indexed="10"/>
        <rFont val="Arial Cyr"/>
        <charset val="204"/>
      </rPr>
      <t>NEW</t>
    </r>
  </si>
  <si>
    <t>Инструмент для загиба крюков 720мм Grand Line.</t>
  </si>
  <si>
    <t>Паук</t>
  </si>
  <si>
    <t xml:space="preserve"> 1.12, 1.13, 1.14, 5.2</t>
  </si>
  <si>
    <r>
      <rPr>
        <b/>
        <sz val="10"/>
        <color indexed="8"/>
        <rFont val="Arial Cyr"/>
        <charset val="204"/>
      </rPr>
      <t xml:space="preserve">Цены: </t>
    </r>
    <r>
      <rPr>
        <sz val="10"/>
        <color indexed="8"/>
        <rFont val="Arial Cyr"/>
        <charset val="204"/>
      </rPr>
      <t xml:space="preserve">торцевая сегментная планка (1.2), Воронеж - проставлена цена утеплителя (5.3) </t>
    </r>
    <r>
      <rPr>
        <b/>
        <sz val="10"/>
        <color indexed="8"/>
        <rFont val="Arial Cyr"/>
        <charset val="204"/>
      </rPr>
      <t xml:space="preserve">Новинка: </t>
    </r>
    <r>
      <rPr>
        <sz val="10"/>
        <color indexed="8"/>
        <rFont val="Arial Cyr"/>
        <charset val="204"/>
      </rPr>
      <t>полипропиленовые фасадные панели Grand Line (3.5),</t>
    </r>
    <r>
      <rPr>
        <b/>
        <sz val="10"/>
        <color indexed="8"/>
        <rFont val="Arial Cyr"/>
        <charset val="204"/>
      </rPr>
      <t xml:space="preserve"> </t>
    </r>
    <r>
      <rPr>
        <sz val="10"/>
        <color indexed="8"/>
        <rFont val="Arial Cyr"/>
        <charset val="204"/>
      </rPr>
      <t>фиброцементный сайдинг Мирко (3.7), сетка воронки "Паук" (1.12, 1.13, 1.14, 5.2)</t>
    </r>
  </si>
  <si>
    <t>молочный</t>
  </si>
  <si>
    <t>молочный, коричневый</t>
  </si>
  <si>
    <t>клинкерный кирпич</t>
  </si>
  <si>
    <t>состаренный кирпич</t>
  </si>
  <si>
    <r>
      <t xml:space="preserve">Кликфальц Mini (2) </t>
    </r>
    <r>
      <rPr>
        <b/>
        <sz val="10"/>
        <color indexed="10"/>
        <rFont val="Arial Cyr"/>
        <charset val="204"/>
      </rPr>
      <t>NEW</t>
    </r>
  </si>
  <si>
    <t>(1) фальц (в полимерных покрытиях); фигурный профнастил; мет. софит; пл.лист в покрытии Velur изготавливаются в защитной пленке. Цена прайса указана с учетом стоимости нанесения пленки. Gofr/Profi - дополнительные ребра жесткости</t>
  </si>
  <si>
    <t>Защелка кронштейна трубы</t>
  </si>
  <si>
    <t>все, при длине изделия
меньше 4,5м</t>
  </si>
  <si>
    <t>Упаковка СБ Усиленная XL</t>
  </si>
  <si>
    <t>Упаковка МЧ (с/б - Усиленная XL)</t>
  </si>
  <si>
    <t>все, при длине изделия больше 4,5м</t>
  </si>
  <si>
    <t>плоский лист, отмотка - обязательна только для максимального кол-ва листов</t>
  </si>
  <si>
    <t>(3) штрипс длиной менее 4,0 м изготавливается только в пленке. Максимальная длина отмотки в покрытиях Design и Premium 50м</t>
  </si>
  <si>
    <t>(3) штрипс длиной менее 4,0 м изготавливается только в пленке. Максимальная длина отмотки в покрытиях Design и Premium 50м.</t>
  </si>
  <si>
    <t>(4) в Санкт-Петербурге возможен заказ продукции в покрытиях GreenCoat Pural и Pural Matt в нестандартных цветах. Минимальный заказ 100 кв.м Продукция в покрытиях Pural и Pural Matt в цветах RR30, 31, 34, 36, 37, 40, 41, 798,779, 5j3 дороже на 5% продукции в стандартных цветах. Продукция в цветах RR20, 21, 22, 35, 594 продается без наценки.</t>
  </si>
  <si>
    <t>Colority Print dp (5)</t>
  </si>
  <si>
    <t>Colority Print (5)</t>
  </si>
  <si>
    <t>(5) На изделиях в покрытии Colority Print на больших поверхностях возможна видимая повторяемость рисунка</t>
  </si>
  <si>
    <t>(4) штрипс длиной менее 4 м изготавливается только в пленке. Максимальная длина отмотки в покрытиях Design и Premium 50м.</t>
  </si>
  <si>
    <r>
      <t xml:space="preserve">Плоский лист - Штрипс (4) - Отмотка (4) </t>
    </r>
    <r>
      <rPr>
        <sz val="10"/>
        <rFont val="Arial Cyr"/>
        <charset val="204"/>
      </rPr>
      <t>(1250/&lt;=1250мм)</t>
    </r>
  </si>
  <si>
    <t>(5) штрипс длиной менее 4,0 м изготавливается только в пленке. Максимальная длина отмотки в покрытиях Design и Premium 50м.</t>
  </si>
  <si>
    <t>(6) штрипс длиной менее 4 м изготавливается только в пленке. Максимальная длина отмотки в покрытиях Design и Premium 50м.</t>
  </si>
  <si>
    <t>Плоский лист - Штрипс (6) - Отмотка (6)</t>
  </si>
  <si>
    <t>Двухсторонняя армированная соединительная лента</t>
  </si>
  <si>
    <t>Двухсторонняя соединительная лента</t>
  </si>
  <si>
    <t>Металлический сайдинг Коробельная доска в покрытии Print и Полиэстер 0,45 цветах RAL 1014, 1015, 7004, 8017, 9003 произ-ва НН и Полиэстер 0,45 в цветах RAL 1014, 1015, 3005, 7004, 7024, 8017, 9003 произ-ва СПб изготавливаются без наценки в стандартные сроки в любом объеме</t>
  </si>
  <si>
    <r>
      <t xml:space="preserve">Подкладочный ковер Икопал К-ЕЛ Про </t>
    </r>
    <r>
      <rPr>
        <b/>
        <sz val="10"/>
        <color indexed="10"/>
        <rFont val="Arial Cyr"/>
        <charset val="204"/>
      </rPr>
      <t>NEW</t>
    </r>
  </si>
  <si>
    <t>Сэндвич-колено 135 град., 0,5+0,5мм</t>
  </si>
  <si>
    <t>Сэндвич-колено 135 град., 0,8+0,5мм</t>
  </si>
  <si>
    <t>Внешний диаметр элемента</t>
  </si>
  <si>
    <r>
      <rPr>
        <b/>
        <sz val="10"/>
        <color indexed="8"/>
        <rFont val="Arial Cyr"/>
        <charset val="204"/>
      </rPr>
      <t xml:space="preserve">Цена: </t>
    </r>
    <r>
      <rPr>
        <sz val="10"/>
        <color indexed="8"/>
        <rFont val="Arial Cyr"/>
        <charset val="204"/>
      </rPr>
      <t>дымоходы Ferrum (1.20),</t>
    </r>
    <r>
      <rPr>
        <b/>
        <sz val="10"/>
        <color indexed="8"/>
        <rFont val="Arial Cyr"/>
        <charset val="204"/>
      </rPr>
      <t xml:space="preserve"> </t>
    </r>
    <r>
      <rPr>
        <sz val="10"/>
        <color indexed="8"/>
        <rFont val="Arial Cyr"/>
        <charset val="204"/>
      </rPr>
      <t xml:space="preserve">корректор для ремонта царапин и штрих-корректор (в.п., 1.1. 1.2, 1.3, 1.12, 1.13, 1.14, 3.1, 4.1, 4.3, 5.2), рулонная сетка (4.5), подкладочные ковры Икопал (1,5), инструмент (см. полный прайс на инструмент), праймеры, мастики кровельные, гидроизоляционные, битумные клеи (1.6),  Нижний-Новгород - труба профилированная стальная (4.5), Беларусь - МЧ Classic plus (в.п., 1.1). 
</t>
    </r>
    <r>
      <rPr>
        <b/>
        <sz val="10"/>
        <color indexed="8"/>
        <rFont val="Arial Cyr"/>
        <charset val="204"/>
      </rPr>
      <t>Новинки:</t>
    </r>
    <r>
      <rPr>
        <sz val="10"/>
        <color indexed="8"/>
        <rFont val="Arial Cyr"/>
        <charset val="204"/>
      </rPr>
      <t xml:space="preserve"> подкладочный ковер Икопал К-ЕЛ Про (1.5), новая упаковка МЧ (7)</t>
    </r>
    <r>
      <rPr>
        <b/>
        <sz val="10"/>
        <color indexed="8"/>
        <rFont val="Arial Cyr"/>
        <charset val="204"/>
      </rPr>
      <t xml:space="preserve"> 
Иное:</t>
    </r>
    <r>
      <rPr>
        <sz val="10"/>
        <color indexed="8"/>
        <rFont val="Arial Cyr"/>
        <charset val="204"/>
      </rPr>
      <t xml:space="preserve"> скорректированы примечания (в.п., 1.1, 1.2, 1.3, 3.1, 4.1), добавлена защелка кронштейна трубы к водостоку Optima (1.13), металлический штакетник всех видов изготавливается в колиестве кратном 10 шт с шагом 0,01 см (в.п., 4.1)</t>
    </r>
  </si>
  <si>
    <t xml:space="preserve">Праймер битумный эмульсионный ТЕХНОНИКОЛЬ № 04
</t>
  </si>
  <si>
    <t xml:space="preserve">Мастика кровельная эмульсионная ТЕХНОНИКОЛЬ №31
</t>
  </si>
  <si>
    <r>
      <rPr>
        <b/>
        <sz val="10"/>
        <color indexed="8"/>
        <rFont val="Arial Cyr"/>
        <charset val="204"/>
      </rPr>
      <t>Цены</t>
    </r>
    <r>
      <rPr>
        <sz val="10"/>
        <color indexed="8"/>
        <rFont val="Arial Cyr"/>
        <charset val="204"/>
      </rPr>
      <t>: изменение цен профилированной продукции в покрытиях:Drap,Pe двс,Pe 0,45,Pe 0,7,Pe 0,8, цинк 0,35,0,45 - 0,9 (в.п.,1.1, 1.3, 2.1, 3.1, 4.1) ; внесены цены битумный материалов (1.6); повышение цен утеплителей Технониколь (5.3)</t>
    </r>
  </si>
  <si>
    <t>Лента вентиляционная алюминиевая Grand Line (0,2м *20м)</t>
  </si>
  <si>
    <t>Нижний Новгород</t>
  </si>
  <si>
    <t>М-образный фигурный</t>
  </si>
  <si>
    <t xml:space="preserve"> PE 0,5</t>
  </si>
  <si>
    <t xml:space="preserve"> PE 0,45-double </t>
  </si>
  <si>
    <t xml:space="preserve"> PE 0,5-double </t>
  </si>
  <si>
    <t>Cherry Wood</t>
  </si>
  <si>
    <t xml:space="preserve"> Velur20</t>
  </si>
  <si>
    <r>
      <rPr>
        <b/>
        <sz val="10"/>
        <rFont val="Arial Cyr"/>
        <charset val="204"/>
      </rPr>
      <t>Лента вентиляционная алюминиевая</t>
    </r>
    <r>
      <rPr>
        <sz val="10"/>
        <rFont val="Arial Cyr"/>
        <charset val="204"/>
      </rPr>
      <t xml:space="preserve"> Grand Line (0,2м *20м)</t>
    </r>
  </si>
  <si>
    <t>200 х 20000</t>
  </si>
  <si>
    <t>3.5. Доборные элементы к фасадным панелям Grand Line NEW</t>
  </si>
  <si>
    <t>тёмный дуб</t>
  </si>
  <si>
    <t>белый, бежевый, ванильный</t>
  </si>
  <si>
    <t>Планка стартовая пластиковая</t>
  </si>
  <si>
    <t>Планка стартовая металлическая</t>
  </si>
  <si>
    <t xml:space="preserve">Стеклоизол Р ХПП 2,1 (9м2) </t>
  </si>
  <si>
    <t xml:space="preserve">Стеклоизол Р ТПП 2,1 (9м2) </t>
  </si>
  <si>
    <t xml:space="preserve">Стеклоизол Р ХКП 3,5 (9м2)  сланец серый </t>
  </si>
  <si>
    <t>Стеклоизол Р ТКП 3,5 (9м2)  сланец серый</t>
  </si>
  <si>
    <t xml:space="preserve">Стеклоизол ХПП 2,5 (10м2) </t>
  </si>
  <si>
    <t>Стеклоизол ХКП 3,5 (10м2)  сланец серый</t>
  </si>
  <si>
    <t xml:space="preserve">Стеклоизол ХПП 3,0 (10м2) </t>
  </si>
  <si>
    <t xml:space="preserve">Стеклоизол ХПП 3,0 (15м2) </t>
  </si>
  <si>
    <t>Стеклоизол ХКП 4,0 (10м2)  сланец серый</t>
  </si>
  <si>
    <t xml:space="preserve">Стеклоизол ТПП 2,5 (10м2) </t>
  </si>
  <si>
    <t>Стеклоизол ТКП 3,5 (10м2)  сланец серый</t>
  </si>
  <si>
    <t xml:space="preserve">Стеклоизол ТПП 3,0 (10м2) </t>
  </si>
  <si>
    <t xml:space="preserve">Стеклоизол ТПП 3,0 (15м2) </t>
  </si>
  <si>
    <t>Стеклоизол ТКП 4,0 (10м2)  сланец серый</t>
  </si>
  <si>
    <t>Рубероид РПП-300 (длина/ ширина, м 15х1, м2)</t>
  </si>
  <si>
    <t>Рубероид РКП-350 (длина/ ширина, м 15х1, м2)</t>
  </si>
  <si>
    <r>
      <rPr>
        <b/>
        <sz val="10"/>
        <color indexed="8"/>
        <rFont val="Arial Cyr"/>
        <charset val="204"/>
      </rPr>
      <t xml:space="preserve">Цены: </t>
    </r>
    <r>
      <rPr>
        <sz val="10"/>
        <color indexed="8"/>
        <rFont val="Arial Cyr"/>
        <charset val="204"/>
      </rPr>
      <t xml:space="preserve"> изменение цены винилового сайдинга в цвете "слоновая кость" (3.3);повышение цены утеплителя Роквул Скандик (5.3); завершилась акция на панели ЯФАСАД(3.5) Новинка: вент.лента алюминевая GL Иное: добавлены доборные элементы фп GL(3.5); повышение цен стеклоизола и рубероида (1.6)</t>
    </r>
  </si>
  <si>
    <r>
      <t xml:space="preserve">лунный камень, яшма, песок
</t>
    </r>
    <r>
      <rPr>
        <b/>
        <sz val="10"/>
        <color indexed="10"/>
        <rFont val="Arial Cyr"/>
        <charset val="204"/>
      </rPr>
      <t>Акция (1)</t>
    </r>
  </si>
  <si>
    <r>
      <t xml:space="preserve">янтарь, песок, бронза, красный 
</t>
    </r>
    <r>
      <rPr>
        <b/>
        <sz val="10"/>
        <color indexed="10"/>
        <rFont val="Arial Cyr"/>
        <charset val="204"/>
      </rPr>
      <t>Акция (1)</t>
    </r>
  </si>
  <si>
    <t>Доборные элементы к фасадным панелям</t>
  </si>
  <si>
    <t>от 10 до 30</t>
  </si>
  <si>
    <t>1,185/1,11</t>
  </si>
  <si>
    <t>1185/1110</t>
  </si>
  <si>
    <t>Колпаки с размером одной из сторон столба более 500 мм изготавливаются с наценкой 30%.</t>
  </si>
  <si>
    <r>
      <rPr>
        <b/>
        <sz val="10"/>
        <color indexed="8"/>
        <rFont val="Arial Cyr"/>
        <charset val="204"/>
      </rPr>
      <t xml:space="preserve">Цены: </t>
    </r>
    <r>
      <rPr>
        <sz val="10"/>
        <color indexed="8"/>
        <rFont val="Arial Cyr"/>
        <charset val="204"/>
      </rPr>
      <t>повышение пвх доборки в цвете слоновая кость (3.3)</t>
    </r>
  </si>
  <si>
    <t>Упаковка сайдинга Мирко</t>
  </si>
  <si>
    <t>размеры 3600*1200 мм</t>
  </si>
  <si>
    <t>до  300 шт.</t>
  </si>
  <si>
    <t>Фиброцементный сайдинг Мирко</t>
  </si>
  <si>
    <r>
      <rPr>
        <u/>
        <sz val="10"/>
        <rFont val="Arial Cyr"/>
        <charset val="204"/>
      </rPr>
      <t>Гидроизоляционные пленки</t>
    </r>
    <r>
      <rPr>
        <sz val="10"/>
        <rFont val="Arial Cyr"/>
        <charset val="204"/>
      </rPr>
      <t xml:space="preserve"> - пленки с низкой степенью пропускания пара, обычно используются при устройстве холодной кровли. Эти пленки обладают отличной водоупорностью. При использовании данного типа пленок при утепленной кровли - необходимо делать 2-а вентилируемых зазора - над пленкой и под пленкой. Вплотную к утеплителю монтировать такие пленки нельзя! </t>
    </r>
  </si>
  <si>
    <t>Профиль угловой с армирующей сеткой 10*15, 2,5 м</t>
  </si>
  <si>
    <r>
      <rPr>
        <b/>
        <sz val="10"/>
        <color indexed="8"/>
        <rFont val="Arial Cyr"/>
        <charset val="204"/>
      </rPr>
      <t xml:space="preserve">Цены: </t>
    </r>
    <r>
      <rPr>
        <sz val="10"/>
        <color indexed="8"/>
        <rFont val="Arial Cyr"/>
        <charset val="204"/>
      </rPr>
      <t xml:space="preserve">дымники и колпаки под заказ (1.25, в.п., 1.1, 1.2, 4.1), складской колпак на столбы для ограждений 390*390 (4.1), штакетник (в.п., 4.1), Санкт-Петербург - техническая корректровка цен на профили для ГК (3.8).  </t>
    </r>
    <r>
      <rPr>
        <b/>
        <sz val="10"/>
        <color indexed="8"/>
        <rFont val="Arial Cyr"/>
        <charset val="204"/>
      </rPr>
      <t>Новинка:</t>
    </r>
    <r>
      <rPr>
        <sz val="10"/>
        <color indexed="8"/>
        <rFont val="Arial Cyr"/>
        <charset val="204"/>
      </rPr>
      <t xml:space="preserve"> мансардное окно Fakro (1.21)</t>
    </r>
  </si>
  <si>
    <t xml:space="preserve">(5) с 12.02.2018 г. металлический сайдинг изготавливается без пленки. Изготовление мет.сайдинга в пленке возможно только с наценкой за пленку. </t>
  </si>
  <si>
    <t>Металлический штакетник М и П-образный в каждом покрытии, цвете и типоразмере (с шагом 1 см.) изготавливаются только в количестве, кратном 10-ти шт.</t>
  </si>
  <si>
    <t>Металлический штакетник Круглый и Прямоугольный изготавливается в количестве кратном 10 шт в размер с шагом 1 см в PE 0,45(RR32, RAL 8017, 6005, 5005,3005,7024),PE dp 0,45(RAL8017, 6005, 3005),Print dp 0,45(Antique Oak, Golden Oak), Velur(RR32, RAL 8017). Возможно изготовление Круглого и Прямоугольного штакетниках в других цветах и покрытиях при заказе от 3000 м.п. в размер с шагом 0,01 см</t>
  </si>
  <si>
    <t>Металлический штакетник М и П-образный в каждом покрытии, цвете и типоразмере (с шагом 1 см) изготавливаются только в количестве, кратном 10-ти шт.</t>
  </si>
  <si>
    <t>Металлический штакетник Круглый и Прямоугольный изготавливается в количестве кратном 10 шт в размер с шагом 1 см в PE 0,45(RR32, RAL 8017, 6005, 5005,3005,7024),PE dp 0,45(RAL8017, 6005, 3005),Print dp 0,45(Antique Dub, Golden Dub), Velur(RR32, RAL 8017). Возможно изготовление Круглого и Прямоугольного штакетниках в других цветах и покрытиях при заказе от 3000 м.п. в размер с шагом 0,01 см</t>
  </si>
  <si>
    <r>
      <rPr>
        <b/>
        <sz val="10"/>
        <color indexed="8"/>
        <rFont val="Arial Cyr"/>
        <charset val="204"/>
      </rPr>
      <t xml:space="preserve">Цены: </t>
    </r>
    <r>
      <rPr>
        <sz val="10"/>
        <color indexed="8"/>
        <rFont val="Arial Cyr"/>
        <charset val="204"/>
      </rPr>
      <t>Мягкая кровля CertainTeed (1.5), снижение цен профилировки 0,35-произ-во и 0,4 ПЭ (п. 1, 1.1, 3.1)</t>
    </r>
  </si>
  <si>
    <r>
      <rPr>
        <b/>
        <sz val="10"/>
        <color indexed="8"/>
        <rFont val="Arial Cyr"/>
        <charset val="204"/>
      </rPr>
      <t xml:space="preserve">Цены: </t>
    </r>
    <r>
      <rPr>
        <sz val="10"/>
        <color indexed="8"/>
        <rFont val="Arial Cyr"/>
        <charset val="204"/>
      </rPr>
      <t>акция Альта-Профиль (3.6)</t>
    </r>
  </si>
  <si>
    <r>
      <t>Материал EPDM (до +185</t>
    </r>
    <r>
      <rPr>
        <b/>
        <vertAlign val="superscript"/>
        <sz val="10"/>
        <rFont val="Arial Cyr"/>
        <charset val="204"/>
      </rPr>
      <t>o</t>
    </r>
    <r>
      <rPr>
        <b/>
        <sz val="10"/>
        <rFont val="Arial Cyr"/>
        <charset val="204"/>
      </rPr>
      <t>C)</t>
    </r>
  </si>
  <si>
    <t>Окно FTS-V U4 Standart, двухкамерный стеклопакет</t>
  </si>
  <si>
    <t>Окно FTP-V U4 Standart, двухкамерный стеклопакет</t>
  </si>
  <si>
    <t>Окна-люки (для нежилых чердаков и летних дач)</t>
  </si>
  <si>
    <r>
      <t xml:space="preserve">Окно-люк WLI с крышкой оснащенной стеклопакетом с универсальным окладом 54х83 </t>
    </r>
    <r>
      <rPr>
        <b/>
        <sz val="10"/>
        <color indexed="10"/>
        <rFont val="Arial Cyr"/>
        <charset val="204"/>
      </rPr>
      <t>NEW</t>
    </r>
  </si>
  <si>
    <r>
      <t xml:space="preserve">Окно-люк WLI с крышкой оснащенной стеклопакетом с универсальным окладом 86х87 </t>
    </r>
    <r>
      <rPr>
        <b/>
        <sz val="10"/>
        <color indexed="10"/>
        <rFont val="Arial Cyr"/>
        <charset val="204"/>
      </rPr>
      <t>NEW</t>
    </r>
  </si>
  <si>
    <t>Цена руб./шт при отгрузке со следующих заводов:</t>
  </si>
  <si>
    <t>Нижний-Новгород, Воронеж, Санкт-Петербург, Краснодар</t>
  </si>
  <si>
    <t xml:space="preserve">(9) в Санкт-Петербурге мателлический сайдинг ЭкоБрус и Блок-Хаус new изготавливается только в пленке. Изготовление мет.сайдинга в пленке возможно только с наценкой за пленку. </t>
  </si>
  <si>
    <t>Сайдинг Блок-хаус New GL (5)</t>
  </si>
  <si>
    <t>(5) В Санкт-Петербурге металлический сайдинг ЭкоБрус и Блок-Хаус new изготавливается только в пленке. Изготовление мет.сайдинга в пленке возможно только с наценкой за пленку.</t>
  </si>
  <si>
    <t>Блок-хаус New (9)</t>
  </si>
  <si>
    <r>
      <rPr>
        <b/>
        <sz val="10"/>
        <color indexed="8"/>
        <rFont val="Arial Cyr"/>
        <charset val="204"/>
      </rPr>
      <t>Цены:</t>
    </r>
    <r>
      <rPr>
        <sz val="10"/>
        <color indexed="8"/>
        <rFont val="Arial Cyr"/>
        <charset val="204"/>
      </rPr>
      <t xml:space="preserve"> фасадный панели Альта-Профиль (3.6).</t>
    </r>
    <r>
      <rPr>
        <b/>
        <sz val="10"/>
        <color indexed="8"/>
        <rFont val="Arial Cyr"/>
        <charset val="204"/>
      </rPr>
      <t xml:space="preserve"> Новинка: </t>
    </r>
    <r>
      <rPr>
        <sz val="10"/>
        <color indexed="8"/>
        <rFont val="Arial Cyr"/>
        <charset val="204"/>
      </rPr>
      <t xml:space="preserve">окна-люки Fakro (1.21). </t>
    </r>
    <r>
      <rPr>
        <b/>
        <sz val="10"/>
        <color indexed="8"/>
        <rFont val="Arial Cyr"/>
        <charset val="204"/>
      </rPr>
      <t>Примечания:</t>
    </r>
    <r>
      <rPr>
        <sz val="10"/>
        <color indexed="8"/>
        <rFont val="Arial Cyr"/>
        <charset val="204"/>
      </rPr>
      <t xml:space="preserve"> о металлическом сайдинге в Санкт-Петербурге (в.п., 3.1)</t>
    </r>
  </si>
  <si>
    <t xml:space="preserve"> </t>
  </si>
  <si>
    <r>
      <t xml:space="preserve">390 </t>
    </r>
    <r>
      <rPr>
        <b/>
        <sz val="10"/>
        <color indexed="10"/>
        <rFont val="Arial Cyr"/>
        <charset val="204"/>
      </rPr>
      <t>NEW</t>
    </r>
  </si>
  <si>
    <t>оцинкованная сталь</t>
  </si>
  <si>
    <t>порошковая окраска*</t>
  </si>
  <si>
    <t xml:space="preserve">нержавеющая сталь </t>
  </si>
  <si>
    <t>нержавеющая сталь 
порошковая окраска</t>
  </si>
  <si>
    <t>крепление к стене в горизонтальной и вертикальной системах Эконом</t>
  </si>
  <si>
    <t>надежное крепление к стене в перекрестной и вертикальной системах</t>
  </si>
  <si>
    <t>удлинение крепления стенового усиленного</t>
  </si>
  <si>
    <t>удлинение крепления стенового</t>
  </si>
  <si>
    <t>создание несущего каркаса в горизонтальной, вертикальной и перекрестной системах</t>
  </si>
  <si>
    <t>создание несущего каркаса в перекрестной системе</t>
  </si>
  <si>
    <t>создание несущего каркаса в вертикальной системе</t>
  </si>
  <si>
    <t>крепление плит керамогранита</t>
  </si>
  <si>
    <t>Лента вентиляционная</t>
  </si>
  <si>
    <t>закрыть вент. отверстие при примыкании к цоколю</t>
  </si>
  <si>
    <t>крепление кронштейнов к стене</t>
  </si>
  <si>
    <t xml:space="preserve">крепление профилей к кронштейнам и между собой </t>
  </si>
  <si>
    <t>крепление утеплителя к стене</t>
  </si>
  <si>
    <t>Вент. лента</t>
  </si>
  <si>
    <t>0,5 / 30</t>
  </si>
  <si>
    <t>0,5 / 25-30</t>
  </si>
  <si>
    <t xml:space="preserve">(1) Акция действует до 01.08.2018 г. Акция не распространяется на Беларусь, для Беларусии действуют базовые цены </t>
  </si>
  <si>
    <r>
      <rPr>
        <b/>
        <sz val="10"/>
        <color indexed="8"/>
        <rFont val="Arial Cyr"/>
        <charset val="204"/>
      </rPr>
      <t>Цены:</t>
    </r>
    <r>
      <rPr>
        <sz val="10"/>
        <color indexed="8"/>
        <rFont val="Arial Cyr"/>
        <charset val="204"/>
      </rPr>
      <t xml:space="preserve"> техническая корректировка цены окна Fakro FTP-V U4 Standart (1.21), террасная доска MasterDeck (6.1), техническая корректировка цены фасадных панелей Альта-Профиль (3.6) </t>
    </r>
    <r>
      <rPr>
        <b/>
        <sz val="10"/>
        <color indexed="8"/>
        <rFont val="Arial Cyr"/>
        <charset val="204"/>
      </rPr>
      <t>Новинка:</t>
    </r>
    <r>
      <rPr>
        <sz val="10"/>
        <color indexed="8"/>
        <rFont val="Arial Cyr"/>
        <charset val="204"/>
      </rPr>
      <t xml:space="preserve"> парапетная крышка с шириной посадочного места 390мм (4.1), на стр. с навесной-фасадной системой добавлена лента вентиляционная алюминиевая (3.9), угол в декоративной системе GL Я-фасад (3.5)</t>
    </r>
  </si>
  <si>
    <t>(2) пл.лист в покрытии Velur изготавливается в защитной пленке - цена указана без учета стоимости пленки, т.е. к цене прайса нужно прибавить 15 руб. за пленку. Фальц (в полимерных покрытиях); фигурный профнастил; мет. cофит изготавливаются в защитной пленке - для них цена прайса указана с учетом стоимости нанесения пленки.</t>
  </si>
  <si>
    <t>(2) пл.лист в покрытии Velur изготавливается в защитной пленке - цена указана без учета стоимости пленки, т.е. к цене прайса нужно прибавить 15 руб. за пленку. Фальц (в полимерных покрытиях); фигурный профнастил; мет. cофит изготавливаются в защитной пленке - для них цена прайса указана с учетом стоимости нанесения пленки. Стоимость двойного стоячего фальца рассчитывается исходя из ширины 625 мм (ширины заготовки). Полная ширина готового изделия 563 мм. Gofr/Profi - дополнительные ребра жесткости</t>
  </si>
  <si>
    <t xml:space="preserve">(3) плоский лист в покрытии Velur изготавливается в защитной пленке - цена указана без учета стоимости пленки, т.е. к цене прайса нужно прибавить 15 руб. за пленку. </t>
  </si>
  <si>
    <t>(2) пл.лист в покрытии Velur изготавливается в защитной пленке - цена указана без учета стоимости пленки, т.е. к цене прайса нужно прибавить 15 руб. за пленку. Фигурный профнастил изготавливается в защитной пленке - цена прайса указана с учетом стоимости нанесения пленки.</t>
  </si>
  <si>
    <t>Kvinta UNO</t>
  </si>
  <si>
    <t>KvintaUno_Ptdp</t>
  </si>
  <si>
    <t>KvintaUno_Pt</t>
  </si>
  <si>
    <t>KvintaUno_Sf</t>
  </si>
  <si>
    <t>KvintaUno_Q</t>
  </si>
  <si>
    <t>KvintaUno_Ql</t>
  </si>
  <si>
    <t>KvintaUno_Vel</t>
  </si>
  <si>
    <t>KvintaUno_Atl</t>
  </si>
  <si>
    <t>KvintaUno_Pur</t>
  </si>
  <si>
    <t>KvintaUno_Pdx</t>
  </si>
  <si>
    <t>KvintaUno_Pdxmatt</t>
  </si>
  <si>
    <t>KvintaUno_StBarhat</t>
  </si>
  <si>
    <t>KvintaUno_Dr</t>
  </si>
  <si>
    <t>KvintaUno_Sat</t>
  </si>
  <si>
    <t>KvintaUno_Pe045</t>
  </si>
  <si>
    <t>С21, НС35</t>
  </si>
  <si>
    <t>Цена, руб./п.м. со склада:</t>
  </si>
  <si>
    <t>Верховье. Распродажа</t>
  </si>
  <si>
    <t>PE 0,5</t>
  </si>
  <si>
    <t>Крепление стеновое (Уголок крепежный) 1,2 мм</t>
  </si>
  <si>
    <t>Уголок крепежный AR УК50х50х50</t>
  </si>
  <si>
    <t>Уголок крепежный AR УК90х50х50</t>
  </si>
  <si>
    <t>Уголок крепежный AR УК100х50х50</t>
  </si>
  <si>
    <t>Уголок крепежный AR УК120х50х50</t>
  </si>
  <si>
    <t>Уголок крепежный AR УК150х50х50</t>
  </si>
  <si>
    <t>Уголок крепежный AR УК180х50х50</t>
  </si>
  <si>
    <t xml:space="preserve">Уголок крепежный AR УК200х50х50 </t>
  </si>
  <si>
    <t>Крепление стеновое усиленное (1,2 мм)</t>
  </si>
  <si>
    <t>Профиль горизонтальный основной (0,9 мм)</t>
  </si>
  <si>
    <t xml:space="preserve">Профиль горизонтальный основной AR ГО40х40х0,9 </t>
  </si>
  <si>
    <t xml:space="preserve">Профиль горизонтальный основной AR ГО40х60х0,9 </t>
  </si>
  <si>
    <t>Профиль вертикальный основной (0,9 мм) (1)</t>
  </si>
  <si>
    <t xml:space="preserve">Профиль вертикальный основной П-обр. AR ВО50х20х20 </t>
  </si>
  <si>
    <t xml:space="preserve">Профиль вертикальный основной П-обр. AR ВО60х20х20 </t>
  </si>
  <si>
    <t>Крепление стеновое (2 мм) (2)</t>
  </si>
  <si>
    <t>Крепление стеновое AR П50х50х50</t>
  </si>
  <si>
    <t xml:space="preserve">Крепление стеновое AR П90х50х50 </t>
  </si>
  <si>
    <t xml:space="preserve">Крепление стеновое AR П100х50х50 </t>
  </si>
  <si>
    <t xml:space="preserve">Крепление стеновое AR П120х50х50 </t>
  </si>
  <si>
    <t xml:space="preserve">Крепление стеновое AR П150х50х50 </t>
  </si>
  <si>
    <t xml:space="preserve">Крепление стеновое AR П180х50х50 </t>
  </si>
  <si>
    <t xml:space="preserve">Крепление стеновое AR П200х50х50 </t>
  </si>
  <si>
    <t>Крепление стеновое усиленное (2 мм) (3)</t>
  </si>
  <si>
    <t xml:space="preserve">Крепление стеновое усиленное AR П90х90х105 </t>
  </si>
  <si>
    <t>Крепление стеновое усиленное AR П120х90х105Пр</t>
  </si>
  <si>
    <t xml:space="preserve">Крепление стеновое усиленное AR П150х90х105Пр </t>
  </si>
  <si>
    <t xml:space="preserve">Крепление стеновое усиленное AR П180х90х105Пр </t>
  </si>
  <si>
    <t xml:space="preserve">Крепление стеновое усиленное AR П200х90х105Пр </t>
  </si>
  <si>
    <t xml:space="preserve">Крепление стеновое усиленное AR П230х90х105Пр </t>
  </si>
  <si>
    <t>Профиль горизонтальный основной (1,2 мм) (4)</t>
  </si>
  <si>
    <t>Профиль горизонтальный основной AR ГО40х40х1,2</t>
  </si>
  <si>
    <t>Профиль горизонтальный основной AR ГО40х60х1,2</t>
  </si>
  <si>
    <t>Профиль вертикальный основной (1,2 мм) (4)</t>
  </si>
  <si>
    <t>Профиль вертикальный основной П-обр. AR ВО50х20х20х1,2</t>
  </si>
  <si>
    <t>Профиль вертикальный основной П-обр. AR ВО60х20х20х1,2</t>
  </si>
  <si>
    <t>Профиль вертикальный основной П-обр. AR ВО80х20х20х1,2</t>
  </si>
  <si>
    <t>Профиль вертикальный основной Т-обр. AR 69х50х1,2</t>
  </si>
  <si>
    <t>Профиль вертикальный основной Т-обр. AR ВО80х50х1,2</t>
  </si>
  <si>
    <t>Профиль вертикальный промежуточный Z-обр. AR ВП20х20х40х1,2</t>
  </si>
  <si>
    <t>Профиль вертикальный промежуточный Z-обр. AR ВП30х20х40х1,2</t>
  </si>
  <si>
    <t>Пластина внешнего угла AR ПВУ 400х50х2</t>
  </si>
  <si>
    <t>формирование внешнего угла несущего каркаса в вертикальной системе с Т-обр профилем</t>
  </si>
  <si>
    <t>устранение мостиков холода между стеной и кронштейном и предотвращения коррозии основания кронштейна</t>
  </si>
  <si>
    <t>Уплотнитель паронитовый  50х50 (2 мм)</t>
  </si>
  <si>
    <t>Уплотнитель паронитовый  80х80 (2 мм)</t>
  </si>
  <si>
    <r>
      <t xml:space="preserve">Лента вентиляционная алюминиевая Grand Line (0,2м *20м) </t>
    </r>
    <r>
      <rPr>
        <b/>
        <sz val="10"/>
        <color indexed="10"/>
        <rFont val="Arial Cyr"/>
        <charset val="204"/>
      </rPr>
      <t>NEW</t>
    </r>
  </si>
  <si>
    <t>Дюбель фасадный универсальный 10х100 , шт: рекомендован для использования в бетоне, полнотелом кирпиче, керамическом (пустотелом) кирпиче, ячеистом бетоне</t>
  </si>
  <si>
    <t>Дюбель фасадный универсальный 10х115 , шт: рекомендован для использования в бетоне, полнотелом кирпиче, керамическом (пустотелом) кирпиче, ячеистом бетоне</t>
  </si>
  <si>
    <t>Заклепка вытяжная 4,0х10,0, сталь/сталь (1000 шт)</t>
  </si>
  <si>
    <t>Заклепка вытяжная 4,0х10,0, нерж/нерж (1000 шт)</t>
  </si>
  <si>
    <t>(1) изготовление под заказ, стандартная длина 3 м, толщина 0,9 мм</t>
  </si>
  <si>
    <t>(2) возможно изготовление кронштейнов вылетом от 50 до 250 мм с шагом 10 мм, в т.ч. из нержавеющей стали</t>
  </si>
  <si>
    <t>(3) возможно изготовление кронштейнов вылетом  от 90 до 260 мм, в т.ч. из нержавеющей стали</t>
  </si>
  <si>
    <t>(4) стандартная длина - 3 м. Возможно изготовление элементов подсистемы других размеров и длин от 330 м</t>
  </si>
  <si>
    <r>
      <rPr>
        <b/>
        <sz val="10"/>
        <color indexed="8"/>
        <rFont val="Arial Cyr"/>
        <charset val="204"/>
      </rPr>
      <t xml:space="preserve">Цены: </t>
    </r>
    <r>
      <rPr>
        <sz val="10"/>
        <color indexed="8"/>
        <rFont val="Arial Cyr"/>
        <charset val="204"/>
      </rPr>
      <t xml:space="preserve">металлочерепица в покрытии Quarzit lite (в.п., 1.1), скорректирована цена плоского листа в покрытии Velur - теперь цена указана без учета стоимости нанесения пленки (в.п., 1.1, 1.2, 1.3, 4.1), акионный круглый и прямоугольный штакетник со склада Ворсино (акции). </t>
    </r>
    <r>
      <rPr>
        <b/>
        <sz val="10"/>
        <color indexed="8"/>
        <rFont val="Arial Cyr"/>
        <charset val="204"/>
      </rPr>
      <t xml:space="preserve">Новинки: </t>
    </r>
    <r>
      <rPr>
        <sz val="10"/>
        <color indexed="8"/>
        <rFont val="Arial Cyr"/>
        <charset val="204"/>
      </rPr>
      <t xml:space="preserve">МЧ Classic plus теперь прокатывается во всех премиум-покрытиях (в.п., 1.1) </t>
    </r>
    <r>
      <rPr>
        <b/>
        <sz val="10"/>
        <color indexed="8"/>
        <rFont val="Arial Cyr"/>
        <charset val="204"/>
      </rPr>
      <t>Иное:</t>
    </r>
    <r>
      <rPr>
        <sz val="10"/>
        <color indexed="8"/>
        <rFont val="Arial Cyr"/>
        <charset val="204"/>
      </rPr>
      <t xml:space="preserve"> скоректированы наименования элементов навесной фасадной системы (3.9), Обнинск - для упаковки С21, НС35 теперь действует "Упаковка ПН (сб/1100)", специфические упаковки больше не действуют (7)</t>
    </r>
  </si>
  <si>
    <t>Zn 140-200</t>
  </si>
  <si>
    <t>Профнастил С8 UNO</t>
  </si>
  <si>
    <t>PnC8Uno_Pe045</t>
  </si>
  <si>
    <r>
      <t xml:space="preserve">Профнастил С8 Uno  </t>
    </r>
    <r>
      <rPr>
        <b/>
        <sz val="10"/>
        <color indexed="10"/>
        <rFont val="Arial Cyr"/>
        <charset val="204"/>
      </rPr>
      <t>NEW</t>
    </r>
  </si>
  <si>
    <t>Кликфальц Mini (1)</t>
  </si>
  <si>
    <t>Кликфальц Mini (2)</t>
  </si>
  <si>
    <t>(11) профнастил С8 Uno не производится под заказ, продается со склада в г. Реутов (МО). Наличие уточняйте у менеджеров.</t>
  </si>
  <si>
    <t>(10) профнастил С8 Uno не производится под заказ, продается со склада в г. Реутов (МО). Наличие уточняйте у менеджеров по продажам</t>
  </si>
  <si>
    <t>(7) профнастил С8 Uno не производится под заказ, продается со склада в г. Реутов (МО). Наличие уточняйте у менеджеров по продажам</t>
  </si>
  <si>
    <r>
      <t xml:space="preserve">Лист Luxard Classic (алланит). </t>
    </r>
    <r>
      <rPr>
        <b/>
        <sz val="10"/>
        <rFont val="Arial Cyr"/>
        <charset val="204"/>
      </rPr>
      <t>Акция до 31.10.2017</t>
    </r>
  </si>
  <si>
    <r>
      <t xml:space="preserve">Лист Luxard Roman (оникс, малахит, гранат). </t>
    </r>
    <r>
      <rPr>
        <b/>
        <sz val="10"/>
        <rFont val="Arial Cyr"/>
        <charset val="204"/>
      </rPr>
      <t>Акция до 31.10.2017</t>
    </r>
  </si>
  <si>
    <t>Саморезы Luxard (черный, коричневый, зеленый, бордо, антик), 4,0х60 мм. Для профиля Roman</t>
  </si>
  <si>
    <t>0,605/0,590</t>
  </si>
  <si>
    <t>605/590</t>
  </si>
  <si>
    <t>Вес, кг</t>
  </si>
  <si>
    <t>Цена руб.</t>
  </si>
  <si>
    <t>цвета на складе</t>
  </si>
  <si>
    <t>цвета под заказ</t>
  </si>
  <si>
    <r>
      <t xml:space="preserve">Снегозадержатель трубчатый Snow Kit 3м </t>
    </r>
    <r>
      <rPr>
        <b/>
        <sz val="10"/>
        <color indexed="10"/>
        <rFont val="Arial Cyr"/>
        <charset val="204"/>
      </rPr>
      <t>NEW</t>
    </r>
  </si>
  <si>
    <t>Труба для снегозадержателя Grand Line овальная 42*21 RAL  3,0 м - 2 шт 
Кронштейн Snow Kit RAL - 4 шт
Саморез 8х60 - 8 шт
Резиновый уплотнитель ЭПДМ - 16 шт</t>
  </si>
  <si>
    <t xml:space="preserve">Болт М8х35 - 2 шт
Шайба А8 - 2 шт
Гайка М8 - 2 шт  </t>
  </si>
  <si>
    <t>Лестница стеновая 3м                                          в комплекте с крепежом *</t>
  </si>
  <si>
    <t>Снегозадержатель универсальный Grand Line 3м</t>
  </si>
  <si>
    <t>Снегозадержатель для фальцевой кровли  Grand Line 3м</t>
  </si>
  <si>
    <t>Снегозадержатель универсальный  Grand Line 1м</t>
  </si>
  <si>
    <t>Снегозадержатель для фальцевой кровли  Grand Line 1м</t>
  </si>
  <si>
    <t>Снегозадержатель трубчатый для композитной черепицы   3м*</t>
  </si>
  <si>
    <t>Ограждение кровли
Grand Line 0,9м</t>
  </si>
  <si>
    <t>Кронштейн универсальный Grand Line Zn/RAL - 4 шт
Стойка Премиум Zn/RAL, длина 780 мм - 3шт
Раскос Zn/RAL - 2 шт
Труба для снегозадержателя Grand Line овальная Zn/RAL 42х21, длина 3м - 2шт 
Болт М8х20 - 4 шт</t>
  </si>
  <si>
    <t>Болт М8х35 - 2 шт
Гайка М8 - 6 шт
Шайба А.8 - 6 шт
EPDM резин. уплотнитель - 16шт
Саморез 8х60 - 8 шт
Саморез кровельный 5,5х19 - 8шт</t>
  </si>
  <si>
    <t>Снегозадержатель трубчатый для композитной черепицы   1м*</t>
  </si>
  <si>
    <t>Ограждение кровли
Grand Line 0,9м
со снегозадержателем</t>
  </si>
  <si>
    <t>Кронштейн универсальный Grand Line Zn/RAL - 4 шт
Стойка Премиум Zn/RAL, длина 780 мм - 3 шт
Раскос Zn/RAL - 2 шт
Труба для снегозадержателя Grand Line овальная Zn/RAL 42х21, длина 3м - 4шт 
Болт М8х20 - 4 шт
Болт М8х35 - 4 шт</t>
  </si>
  <si>
    <t>Гайка М8 - 8 шт
Шайба А.8 - 8 шт
EPDM резин. уплотнитель - 16 шт
Саморез 8х60 - 8 шт
Саморез кровельный 5,5х19 - 8шт</t>
  </si>
  <si>
    <t>Мостик переходной 3м*</t>
  </si>
  <si>
    <t xml:space="preserve">Полотно мостика переходного Grand Line Zn/RAL 3,0 м - 1 шт
Кронштейн универсальный Grand Line - 6 шт
Саморез 8х60 DIN 571 - 6 шт
Болт М8х20 - 15 шт,   Гайка М8 - 15 шт </t>
  </si>
  <si>
    <t>Мостик переходной 1м*</t>
  </si>
  <si>
    <t xml:space="preserve">Полотно мостика переходного Grand Line Zn/RAL 1,0 м - 1 шт
Кронштейн универсальный Grand Line Zn/RAL - 4 шт
Саморез 8х60 DIN 571 - 4 шт 
Болт М8х20 - 10 шт,   Гайка М8 - 10 шт </t>
  </si>
  <si>
    <t>Ограждение фальцевой кровли
Grand Line 0,9м</t>
  </si>
  <si>
    <t xml:space="preserve">Кронштейн универсальный Grand Line Zn/RAL - 4 шт
Скоба кронштейна для фальцевой кровли  RAL - 16 шт
Стойка Премиум Zn/RAL, длина 780 мм - 3шт
Раскос Zn/RAL - 2 шт
Труба для снегозадержателя Grand Line овальная Zn/RAL 42х21, длина 3м - 2шт </t>
  </si>
  <si>
    <t>Болт М8х20 - 4 шт
Болт М8х35 - 18 шт
Гайка М8 - 22 шт
Шайба А.8 - 22 шт
Шайба А.8 увеличенная - 16 шт
Саморез кровельный 5,5х19 - 8шт</t>
  </si>
  <si>
    <t>Мостик переходной для фальцевой кровли
3м*</t>
  </si>
  <si>
    <t>Ограждение фальцевой кровли
Grand Line 0,9м
со снегозадержателем</t>
  </si>
  <si>
    <t xml:space="preserve">Кронштейн универсальный Grand Line Zn/RAL - 4 шт
Скоба кронштейна для фальцевой кровли  RAL - 16 шт
Стойка Премиум Zn/RAL, длина 780 мм - 3шт
Раскос Zn/RAL - 2 шт
Труба для снегозадержателя Grand Line овальная Zn/RAL 42х21, длина 3м - 4шт </t>
  </si>
  <si>
    <t>Болт М8х20 - 4 шт
Болт М8х35 - 20 шт
Гайка М8 - 24 шт
Шайба А.8 - 24 шт
Шайба А.8 увеличенная - 16 шт
Саморез кровельный 5,5х19 - 8шт</t>
  </si>
  <si>
    <t>Мостик переходной для фальцевой кровли 
1м*</t>
  </si>
  <si>
    <t>Ограждение кровли
Grand Line 1,2м</t>
  </si>
  <si>
    <t>Кронштейн универсальный Grand Line Zn/RAL - 4 шт
Стойка Премиум Zn/RAL, длина 1080 мм - 3шт
Раскос Zn/RAL - 2 шт
Труба для снегозадержателя Grand Line овальная Zn/RAL 42х21, длина 3м - 3шт 
Болт М8х20 - 4 шт,  Болт М8х35 - 3 шт</t>
  </si>
  <si>
    <t>Полотно переходного мостика 3м*</t>
  </si>
  <si>
    <t>Ограждение крвли
Grand Line 1,2м
со снегозадержателем</t>
  </si>
  <si>
    <t>Кронштейн универсальный Grand Line Zn/RAL - 4 шт
Стойка Премиум Zn/RAL, длина 1080 мм - 3шт
Раскос Zn/RAL - 2 шт
Труба для снегозадержателя Grand Line овальная Zn/RAL 42х21, длина 3м - 5шт 
Болт М8х20 - 4 шт,   Болт М8х35 - 5 шт</t>
  </si>
  <si>
    <t>Полотно переходного мостика 1м*</t>
  </si>
  <si>
    <t>Ограждение для фальцевой кровли
Grand Line 1,2м</t>
  </si>
  <si>
    <t xml:space="preserve">Кронштейн универсальный Grand Line Zn/RAL - 4 шт
Скоба кронштейна для фальцевой кровли  RAL - 16 шт
Стойка Премиум Zn/RAL, длина 1080 мм - 3шт
Раскос Zn/RAL - 2 шт
Труба для снегозадержателя Grand Line овальная Zn/RAL 42х21, длина 3м - 3шт </t>
  </si>
  <si>
    <t>Ограждение для фальцевой кровли
Grand Line 1,2м
со снегозадержателем</t>
  </si>
  <si>
    <t xml:space="preserve">Кронштейн универсальный Grand Line Zn/RAL - 4 шт
Скоба кронштейна для фальцевой кровли  RAL - 16 шт
Стойка Премиум Zn/RAL, длина 1080 мм - 3шт
Раскос Zn/RAL - 2 шт
Труба для снегозадержателя Grand Line овальная Zn/RAL 42х21, длина 3м - 5шт </t>
  </si>
  <si>
    <t>Лестница кровельная 3м в комплекте с крепежом *</t>
  </si>
  <si>
    <r>
      <t xml:space="preserve">* - на складе не поддерживается, на заказ
** - под заказ! Возможное изготовление кров. ограждения высотой 0,72 м; 0,9 м; 1,2 м.
К лестнице стеновой применяются кронштейны стеновые, подвесные, поручни. К лестнице кровельной применяются кронштейны кровельные и коньковые.
Цвета снегозадержателей Grand Line на складе: RAL 3003, RAL 3005, RAL 3009, RAL 3011, RAL 5005, RAL 6005, RAL 6020, RAL 7004, RAL 7024, RAL 8004, RAL 8017, RAL 9005, RAL 9006, RR29, RR32.
Стандартные цвета ЭБК Grand Line (по цене складских): RAL 3003, RAL 3005, RAL 3009, RR29, RAL 5005, RAL 6005, RAL 6020, RAL 7004, RAL 7024, RAL 8004, RAL 8017, RR32, RAL 9006, RAL 8019, RAL 9003, RR11. Сроки изготовления уточняйте у менеджера
Другие цвета ЭБК Grand Line: возможность изготовления и сроки уточняйте у менеджера
Цвета снегозадержателей, кронштейнов и пластин для фальцевой кровли, доступные для заказа, уточняйте у вашего менеджера.
Максимальная высота кровельного полотна для установки снегозадержателей и кровельных ограждений – 80 мм (выше ПН 75)
</t>
    </r>
    <r>
      <rPr>
        <b/>
        <sz val="10"/>
        <color indexed="10"/>
        <rFont val="Arial Cyr"/>
        <charset val="204"/>
      </rPr>
      <t>ВНИМАНИЕ! При покупке Элементов Безопасности Кровли для металлочерепицы Квинта Плюс, необходимо дополнительно приобрести саморез М8х80 и один дополнительный уплотнитель ЭПДМ на каждую точку крепления</t>
    </r>
    <r>
      <rPr>
        <b/>
        <sz val="10"/>
        <rFont val="Arial Cyr"/>
        <charset val="204"/>
      </rPr>
      <t xml:space="preserve">
Все цены указаны с НДС на складе завода Grand Line®</t>
    </r>
  </si>
  <si>
    <t>Кронштейн опорный для лестницы
Grand Line</t>
  </si>
  <si>
    <r>
      <t xml:space="preserve">Кронштейн кровельный Grand Line </t>
    </r>
    <r>
      <rPr>
        <sz val="10"/>
        <rFont val="Arial Cyr"/>
        <charset val="204"/>
      </rPr>
      <t>(для лестниц длиной 5м и больше) *</t>
    </r>
  </si>
  <si>
    <t>АТЛАНТИКА</t>
  </si>
  <si>
    <r>
      <t xml:space="preserve">Kvinta Uno </t>
    </r>
    <r>
      <rPr>
        <b/>
        <sz val="10"/>
        <color indexed="10"/>
        <rFont val="Arial Cyr"/>
        <charset val="204"/>
      </rPr>
      <t>NEW</t>
    </r>
  </si>
  <si>
    <t>Обнинск, Воронеж, Нижний-Новгород,  Санкт-Петербург</t>
  </si>
  <si>
    <t>гонт 1000х250мм 
2 кв.м/уп.</t>
  </si>
  <si>
    <t>SHINGLAS АТЛАНТИКА</t>
  </si>
  <si>
    <t>SHINGLAS КОНТИНЕНТ</t>
  </si>
  <si>
    <t>SHINGLAS ВЕСТЕРН</t>
  </si>
  <si>
    <t>SHINGLAS ДЖАЗ</t>
  </si>
  <si>
    <t>SHINGLAS РАНЧО</t>
  </si>
  <si>
    <t>SHINGLAS КАНТРИ</t>
  </si>
  <si>
    <r>
      <t xml:space="preserve">Профнастил С8 Uno </t>
    </r>
    <r>
      <rPr>
        <b/>
        <sz val="10"/>
        <color indexed="10"/>
        <rFont val="Arial Cyr"/>
        <charset val="204"/>
      </rPr>
      <t>NEW</t>
    </r>
  </si>
  <si>
    <t>Размеры, ТхШхД, мм</t>
  </si>
  <si>
    <t>Мин. поставка, упак.</t>
  </si>
  <si>
    <t xml:space="preserve">Цена руб./ед.изм. </t>
  </si>
  <si>
    <t>Цена руб./ед.изм.</t>
  </si>
  <si>
    <r>
      <rPr>
        <b/>
        <sz val="10"/>
        <color indexed="8"/>
        <rFont val="Arial Cyr"/>
        <charset val="204"/>
      </rPr>
      <t xml:space="preserve">Цены: </t>
    </r>
    <r>
      <rPr>
        <sz val="10"/>
        <color indexed="8"/>
        <rFont val="Arial Cyr"/>
        <charset val="204"/>
      </rPr>
      <t>мягкая черепица SHINGLAS (1.4),</t>
    </r>
    <r>
      <rPr>
        <b/>
        <sz val="10"/>
        <color indexed="8"/>
        <rFont val="Arial Cyr"/>
        <charset val="204"/>
      </rPr>
      <t xml:space="preserve"> </t>
    </r>
    <r>
      <rPr>
        <sz val="10"/>
        <color indexed="8"/>
        <rFont val="Arial Cyr"/>
        <charset val="204"/>
      </rPr>
      <t xml:space="preserve">композитная черепица Luxard (1.9), вентиляция ТехноНИКОЛЬ (1.18), фасадная плитка HAUBERK (3.6), заклепка вытяжная (в.п., 4.1. 5.2), профилированные мембраны PLANTER  (5.4), Нижний-Новгород - акционный штакетник (акции), Воронеж - утеплитель ROCKWOOL (5.3). </t>
    </r>
    <r>
      <rPr>
        <b/>
        <sz val="10"/>
        <color indexed="8"/>
        <rFont val="Arial Cyr"/>
        <charset val="204"/>
      </rPr>
      <t xml:space="preserve">Новинка: </t>
    </r>
    <r>
      <rPr>
        <sz val="10"/>
        <color indexed="8"/>
        <rFont val="Arial Cyr"/>
        <charset val="204"/>
      </rPr>
      <t>модульная металлочерепица Kvinta Uno (в.п., 1.1.), модульный профнастил C8 Uno со склада в г. Реутов (в.п., 3.1, 4.1), снегозадержатель трубчатый Snow Kit (1.15)</t>
    </r>
  </si>
  <si>
    <r>
      <t xml:space="preserve">Мультифункциональный резак IVT MPC-110 </t>
    </r>
    <r>
      <rPr>
        <b/>
        <sz val="10"/>
        <color indexed="10"/>
        <rFont val="Arial Cyr"/>
        <charset val="204"/>
      </rPr>
      <t>NEW</t>
    </r>
  </si>
  <si>
    <t>Резать черепицу на торцах, примыканиях и в ендовах не повредив защитный слой металла. Режит металлические листы покрытые каменной крошкой. (диск в комплекте)</t>
  </si>
  <si>
    <r>
      <t xml:space="preserve">Диск режущий к мультифункциональному резаку IVT MPCB-110 </t>
    </r>
    <r>
      <rPr>
        <b/>
        <sz val="10"/>
        <color indexed="10"/>
        <rFont val="Arial Cyr"/>
        <charset val="204"/>
      </rPr>
      <t>NEW</t>
    </r>
  </si>
  <si>
    <t>Мультифункциональный резак IVT MPC-110</t>
  </si>
  <si>
    <t>Мультифункциональный резак IVT MPC-11</t>
  </si>
  <si>
    <r>
      <t xml:space="preserve">Панель фасадная GL "ЯФАСАД" 
</t>
    </r>
    <r>
      <rPr>
        <b/>
        <sz val="10"/>
        <rFont val="Arial Cyr"/>
        <charset val="204"/>
      </rPr>
      <t xml:space="preserve">Скала </t>
    </r>
    <r>
      <rPr>
        <b/>
        <sz val="10"/>
        <color indexed="10"/>
        <rFont val="Arial Cyr"/>
        <charset val="204"/>
      </rPr>
      <t>NEW</t>
    </r>
  </si>
  <si>
    <t>жемчуг</t>
  </si>
  <si>
    <r>
      <t xml:space="preserve">Угол прямой GL Яфасад 3.0 </t>
    </r>
    <r>
      <rPr>
        <b/>
        <sz val="10"/>
        <color indexed="10"/>
        <rFont val="Arial Cyr"/>
        <charset val="204"/>
      </rPr>
      <t>NEW</t>
    </r>
  </si>
  <si>
    <t xml:space="preserve"> с 23.07.2018</t>
  </si>
  <si>
    <t>Штора ARS (группа I: белые 001, бежевые 002, лен 006, светлый беж 007) **</t>
  </si>
  <si>
    <t>Штора ARP группа I (лен 006, кремовые 007)**</t>
  </si>
  <si>
    <t>Жалюзи с боковыми направляющими AJP группа I (белые 140)**</t>
  </si>
  <si>
    <t>Светонепроницаемая штора ARF группа I (синяя 051)**</t>
  </si>
  <si>
    <t>Светонепроницаемая штора ARF группа II (бордовая 056)**</t>
  </si>
  <si>
    <t>60х120х325 (335)***</t>
  </si>
  <si>
    <t>70х120х325 (335)***</t>
  </si>
  <si>
    <t>70х130х325 (335) ***</t>
  </si>
  <si>
    <t>** - данные цвета являются складскими, цену на нестандартные цвета уточните у менеджера</t>
  </si>
  <si>
    <t>*** - чердачные лестницы LWS Plus и LWK Plus в размерах 60х120х325, 70х120х325 и 70х130х325 благодаря своим конструктивным особенностям также оптимально подходят для установки в помещениях с высотой потолка 335 см.</t>
  </si>
  <si>
    <r>
      <rPr>
        <b/>
        <sz val="10"/>
        <color indexed="8"/>
        <rFont val="Arial Cyr"/>
        <charset val="204"/>
      </rPr>
      <t>Новинки:</t>
    </r>
    <r>
      <rPr>
        <sz val="10"/>
        <color indexed="8"/>
        <rFont val="Arial Cyr"/>
        <charset val="204"/>
      </rPr>
      <t xml:space="preserve"> инструмент (5.5), панель фасадная GL "ЯФАСАД" Скала (3.5),</t>
    </r>
    <r>
      <rPr>
        <b/>
        <sz val="10"/>
        <color indexed="8"/>
        <rFont val="Arial Cyr"/>
        <charset val="204"/>
      </rPr>
      <t xml:space="preserve"> Новинки:</t>
    </r>
    <r>
      <rPr>
        <sz val="10"/>
        <color indexed="8"/>
        <rFont val="Arial Cyr"/>
        <charset val="204"/>
      </rPr>
      <t xml:space="preserve"> мультифункциональный резак и зап.части к вырубным ножницам (5.5 и отдельный прайс) </t>
    </r>
    <r>
      <rPr>
        <b/>
        <sz val="10"/>
        <color indexed="8"/>
        <rFont val="Arial Cyr"/>
        <charset val="204"/>
      </rPr>
      <t xml:space="preserve">Иное: </t>
    </r>
    <r>
      <rPr>
        <sz val="10"/>
        <color indexed="8"/>
        <rFont val="Arial Cyr"/>
        <charset val="204"/>
      </rPr>
      <t>лестница Комфорт Fakro выведена из ассортимента (1.21)</t>
    </r>
  </si>
  <si>
    <t xml:space="preserve">г. Липецк </t>
  </si>
  <si>
    <t>тел.: +7 (4742) 55-94-00 (многоканальный)</t>
  </si>
  <si>
    <t>г. Рязань</t>
  </si>
  <si>
    <t>выставочный зал: ул.Татарская, 47</t>
  </si>
  <si>
    <t>тел.: +7 (4912) 47-60-16</t>
  </si>
  <si>
    <t>г. Москва</t>
  </si>
  <si>
    <t>тел.: +7-903 -747-90-70 , +7(495) -255-75-05</t>
  </si>
  <si>
    <t xml:space="preserve">выставочный зал: Кузнечный пер., д. 20 </t>
  </si>
  <si>
    <t xml:space="preserve">Липецк : Кузнечный пер., д. 20 </t>
  </si>
  <si>
    <t>55-94-00</t>
  </si>
  <si>
    <t>тел.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</si>
</sst>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1" formatCode="_-* #,##0.00_р_._-;\-* #,##0.00_р_._-;_-* &quot;-&quot;??_р_._-;_-@_-"/>
    <numFmt numFmtId="172" formatCode="0.0"/>
    <numFmt numFmtId="173" formatCode="#,##0.00_р_."/>
    <numFmt numFmtId="174" formatCode="0.000"/>
    <numFmt numFmtId="175" formatCode="0.0%"/>
    <numFmt numFmtId="176" formatCode="0.0000"/>
    <numFmt numFmtId="177" formatCode="000000"/>
    <numFmt numFmtId="182" formatCode="#,##0.0"/>
  </numFmts>
  <fonts count="81">
    <font>
      <sz val="11"/>
      <color theme="1"/>
      <name val="Calibri"/>
      <family val="2"/>
      <charset val="204"/>
      <scheme val="minor"/>
    </font>
    <font>
      <sz val="11"/>
      <color indexed="8"/>
      <name val="Calibri"/>
      <family val="2"/>
      <charset val="204"/>
    </font>
    <font>
      <sz val="10"/>
      <color indexed="8"/>
      <name val="Arial Cyr"/>
      <charset val="204"/>
    </font>
    <font>
      <sz val="10"/>
      <color indexed="10"/>
      <name val="Arial Cyr"/>
      <charset val="204"/>
    </font>
    <font>
      <sz val="10"/>
      <name val="Arial Cyr"/>
      <charset val="204"/>
    </font>
    <font>
      <u/>
      <sz val="10"/>
      <color indexed="12"/>
      <name val="Arial Cyr"/>
      <family val="2"/>
      <charset val="204"/>
    </font>
    <font>
      <sz val="10"/>
      <color indexed="12"/>
      <name val="Arial Cyr"/>
      <charset val="204"/>
    </font>
    <font>
      <sz val="10"/>
      <color indexed="12"/>
      <name val="Arial Cyr"/>
      <family val="2"/>
      <charset val="204"/>
    </font>
    <font>
      <b/>
      <sz val="18"/>
      <color indexed="10"/>
      <name val="Arial Cyr"/>
      <charset val="204"/>
    </font>
    <font>
      <b/>
      <sz val="14"/>
      <color indexed="10"/>
      <name val="Arial Cyr"/>
      <charset val="204"/>
    </font>
    <font>
      <b/>
      <sz val="12"/>
      <name val="Arial Cyr"/>
      <charset val="204"/>
    </font>
    <font>
      <sz val="10"/>
      <color indexed="8"/>
      <name val="Arial Cyr"/>
      <family val="2"/>
      <charset val="204"/>
    </font>
    <font>
      <b/>
      <sz val="12"/>
      <color indexed="12"/>
      <name val="Arial Cyr"/>
      <charset val="204"/>
    </font>
    <font>
      <b/>
      <sz val="10"/>
      <color indexed="8"/>
      <name val="Arial Cyr"/>
      <charset val="204"/>
    </font>
    <font>
      <sz val="10"/>
      <name val="Arial"/>
      <family val="2"/>
      <charset val="177"/>
    </font>
    <font>
      <sz val="10"/>
      <name val="Arial"/>
      <family val="2"/>
    </font>
    <font>
      <sz val="8"/>
      <name val="Arial"/>
      <family val="2"/>
      <charset val="204"/>
    </font>
    <font>
      <sz val="11"/>
      <color indexed="8"/>
      <name val="Calibri"/>
      <family val="2"/>
      <charset val="204"/>
    </font>
    <font>
      <b/>
      <sz val="14"/>
      <name val="Arial Cyr"/>
      <charset val="204"/>
    </font>
    <font>
      <b/>
      <sz val="10"/>
      <name val="Arial Cyr"/>
      <charset val="204"/>
    </font>
    <font>
      <b/>
      <sz val="10"/>
      <color indexed="10"/>
      <name val="Arial Cyr"/>
      <charset val="204"/>
    </font>
    <font>
      <i/>
      <sz val="10"/>
      <name val="Arial Cyr"/>
      <charset val="204"/>
    </font>
    <font>
      <sz val="10"/>
      <name val="Calibri"/>
      <family val="2"/>
      <charset val="204"/>
    </font>
    <font>
      <vertAlign val="superscript"/>
      <sz val="10"/>
      <name val="Arial Cyr"/>
      <charset val="204"/>
    </font>
    <font>
      <sz val="10"/>
      <name val="Arial Cyr"/>
      <family val="2"/>
      <charset val="204"/>
    </font>
    <font>
      <b/>
      <sz val="9"/>
      <color indexed="81"/>
      <name val="Tahoma"/>
      <family val="2"/>
      <charset val="204"/>
    </font>
    <font>
      <sz val="10"/>
      <color indexed="48"/>
      <name val="Arial Cyr"/>
      <charset val="204"/>
    </font>
    <font>
      <b/>
      <sz val="10"/>
      <color indexed="48"/>
      <name val="Arial Cyr"/>
      <charset val="204"/>
    </font>
    <font>
      <sz val="11"/>
      <color indexed="8"/>
      <name val="Arial Cyr"/>
      <charset val="204"/>
    </font>
    <font>
      <b/>
      <sz val="10"/>
      <name val="Arial Cyr"/>
      <family val="2"/>
      <charset val="204"/>
    </font>
    <font>
      <b/>
      <sz val="14"/>
      <color indexed="10"/>
      <name val="Arial Cyr"/>
      <family val="2"/>
      <charset val="204"/>
    </font>
    <font>
      <sz val="9"/>
      <name val="Arial Cyr"/>
      <charset val="204"/>
    </font>
    <font>
      <vertAlign val="superscript"/>
      <sz val="9"/>
      <name val="Arial Cyr"/>
      <charset val="204"/>
    </font>
    <font>
      <sz val="11"/>
      <name val="Arial Cyr"/>
      <charset val="204"/>
    </font>
    <font>
      <u/>
      <sz val="10"/>
      <color indexed="12"/>
      <name val="Arial Cyr"/>
      <charset val="204"/>
    </font>
    <font>
      <b/>
      <sz val="11"/>
      <color indexed="8"/>
      <name val="Arial Cyr"/>
      <charset val="204"/>
    </font>
    <font>
      <sz val="12"/>
      <color indexed="8"/>
      <name val="Arial"/>
      <family val="2"/>
      <charset val="204"/>
    </font>
    <font>
      <u/>
      <sz val="10"/>
      <color indexed="10"/>
      <name val="Arial Cyr"/>
      <charset val="204"/>
    </font>
    <font>
      <b/>
      <vertAlign val="superscript"/>
      <sz val="10"/>
      <name val="Arial Cyr"/>
      <charset val="204"/>
    </font>
    <font>
      <b/>
      <vertAlign val="superscript"/>
      <sz val="10"/>
      <color indexed="8"/>
      <name val="Arial Cyr"/>
      <charset val="204"/>
    </font>
    <font>
      <b/>
      <sz val="11"/>
      <name val="Arial Cyr"/>
      <charset val="204"/>
    </font>
    <font>
      <u/>
      <sz val="10"/>
      <name val="Arial Cyr"/>
      <charset val="204"/>
    </font>
    <font>
      <sz val="9"/>
      <color indexed="81"/>
      <name val="Tahoma"/>
      <family val="2"/>
      <charset val="204"/>
    </font>
    <font>
      <b/>
      <sz val="10"/>
      <color indexed="8"/>
      <name val="Arial Cyr"/>
      <family val="2"/>
      <charset val="204"/>
    </font>
    <font>
      <sz val="11"/>
      <color indexed="8"/>
      <name val="Arial"/>
      <family val="2"/>
      <charset val="204"/>
    </font>
    <font>
      <b/>
      <i/>
      <sz val="10"/>
      <name val="Arial Cyr"/>
      <charset val="204"/>
    </font>
    <font>
      <b/>
      <sz val="12"/>
      <color indexed="8"/>
      <name val="Arial Cyr"/>
      <charset val="204"/>
    </font>
    <font>
      <sz val="12"/>
      <color indexed="8"/>
      <name val="Arial Cyr"/>
      <charset val="204"/>
    </font>
    <font>
      <sz val="10"/>
      <name val="Arial"/>
      <family val="2"/>
      <charset val="204"/>
    </font>
    <font>
      <sz val="12"/>
      <name val="Arial Cyr"/>
      <charset val="204"/>
    </font>
    <font>
      <sz val="10"/>
      <color indexed="60"/>
      <name val="Arial Cyr"/>
      <charset val="204"/>
    </font>
    <font>
      <b/>
      <sz val="14"/>
      <color indexed="8"/>
      <name val="Arial Cyr"/>
      <charset val="204"/>
    </font>
    <font>
      <b/>
      <sz val="10"/>
      <name val="Arial Cyr"/>
      <family val="2"/>
      <charset val="1"/>
    </font>
    <font>
      <sz val="10"/>
      <name val="Arial Cyr"/>
      <family val="2"/>
      <charset val="1"/>
    </font>
    <font>
      <u/>
      <sz val="10"/>
      <color indexed="8"/>
      <name val="Arial Cyr"/>
      <charset val="204"/>
    </font>
    <font>
      <b/>
      <sz val="11"/>
      <color indexed="8"/>
      <name val="Calibri"/>
      <family val="2"/>
      <charset val="204"/>
    </font>
    <font>
      <b/>
      <sz val="11"/>
      <color indexed="10"/>
      <name val="Calibri"/>
      <family val="2"/>
      <charset val="204"/>
    </font>
    <font>
      <b/>
      <sz val="12"/>
      <color indexed="10"/>
      <name val="Arial Cyr"/>
      <charset val="204"/>
    </font>
    <font>
      <sz val="10"/>
      <color indexed="8"/>
      <name val="Arial Cyr"/>
      <family val="2"/>
      <charset val="1"/>
    </font>
    <font>
      <b/>
      <sz val="16"/>
      <color indexed="10"/>
      <name val="Arial Cyr"/>
      <charset val="204"/>
    </font>
    <font>
      <b/>
      <sz val="10"/>
      <color indexed="8"/>
      <name val="Arial"/>
      <family val="2"/>
      <charset val="204"/>
    </font>
    <font>
      <sz val="10"/>
      <color indexed="8"/>
      <name val="Arial"/>
      <family val="2"/>
      <charset val="204"/>
    </font>
    <font>
      <sz val="16"/>
      <name val="Arial Cyr"/>
      <charset val="204"/>
    </font>
    <font>
      <b/>
      <sz val="14"/>
      <name val="Arial"/>
      <family val="2"/>
      <charset val="204"/>
    </font>
    <font>
      <b/>
      <sz val="10"/>
      <color indexed="10"/>
      <name val="Arial Cyr"/>
      <charset val="204"/>
    </font>
    <font>
      <b/>
      <sz val="10"/>
      <color indexed="10"/>
      <name val="Arial Cyr"/>
      <charset val="204"/>
    </font>
    <font>
      <b/>
      <sz val="10"/>
      <color indexed="10"/>
      <name val="Arial Cyr"/>
      <charset val="204"/>
    </font>
    <font>
      <b/>
      <sz val="10"/>
      <color indexed="10"/>
      <name val="Arial Cyr"/>
      <charset val="204"/>
    </font>
    <font>
      <b/>
      <sz val="10"/>
      <color indexed="10"/>
      <name val="Arial Cyr"/>
      <charset val="204"/>
    </font>
    <font>
      <b/>
      <sz val="10"/>
      <color indexed="10"/>
      <name val="Arial Cyr"/>
      <charset val="204"/>
    </font>
    <font>
      <b/>
      <sz val="10"/>
      <color indexed="10"/>
      <name val="Arial Cyr"/>
      <charset val="204"/>
    </font>
    <font>
      <b/>
      <sz val="11"/>
      <color indexed="8"/>
      <name val="Calibri"/>
      <family val="2"/>
      <charset val="204"/>
    </font>
    <font>
      <sz val="10"/>
      <color indexed="10"/>
      <name val="Arial Cyr"/>
      <charset val="204"/>
    </font>
    <font>
      <sz val="10"/>
      <color indexed="8"/>
      <name val="Arial Cyr"/>
      <charset val="204"/>
    </font>
    <font>
      <b/>
      <sz val="10"/>
      <color indexed="10"/>
      <name val="Arial Cyr"/>
      <charset val="204"/>
    </font>
    <font>
      <sz val="22"/>
      <color indexed="8"/>
      <name val="Arial Cyr"/>
      <charset val="204"/>
    </font>
    <font>
      <sz val="16"/>
      <color indexed="8"/>
      <name val="Arial Cyr"/>
      <charset val="204"/>
    </font>
    <font>
      <sz val="26"/>
      <color indexed="8"/>
      <name val="Arial Cyr"/>
      <charset val="204"/>
    </font>
    <font>
      <sz val="28"/>
      <color indexed="8"/>
      <name val="Arial Cyr"/>
      <charset val="204"/>
    </font>
    <font>
      <sz val="28"/>
      <color theme="1"/>
      <name val="Calibri"/>
      <family val="2"/>
      <charset val="204"/>
      <scheme val="minor"/>
    </font>
    <font>
      <sz val="28"/>
      <color rgb="FF000000"/>
      <name val="Arial"/>
      <family val="2"/>
      <charset val="204"/>
    </font>
  </fonts>
  <fills count="2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2"/>
        <bgColor indexed="31"/>
      </patternFill>
    </fill>
    <fill>
      <patternFill patternType="solid">
        <fgColor indexed="10"/>
        <bgColor indexed="64"/>
      </patternFill>
    </fill>
    <fill>
      <patternFill patternType="solid">
        <fgColor indexed="9"/>
        <bgColor indexed="26"/>
      </patternFill>
    </fill>
    <fill>
      <patternFill patternType="solid">
        <fgColor indexed="22"/>
        <bgColor indexed="9"/>
      </patternFill>
    </fill>
    <fill>
      <patternFill patternType="solid">
        <fgColor indexed="22"/>
        <bgColor indexed="13"/>
      </patternFill>
    </fill>
    <fill>
      <patternFill patternType="solid">
        <fgColor indexed="11"/>
        <bgColor indexed="64"/>
      </patternFill>
    </fill>
    <fill>
      <patternFill patternType="solid">
        <fgColor indexed="22"/>
        <bgColor indexed="26"/>
      </patternFill>
    </fill>
    <fill>
      <patternFill patternType="solid">
        <fgColor indexed="51"/>
        <bgColor indexed="64"/>
      </patternFill>
    </fill>
    <fill>
      <patternFill patternType="solid">
        <fgColor indexed="10"/>
        <bgColor indexed="60"/>
      </patternFill>
    </fill>
    <fill>
      <patternFill patternType="solid">
        <fgColor indexed="11"/>
        <bgColor indexed="27"/>
      </patternFill>
    </fill>
    <fill>
      <patternFill patternType="solid">
        <fgColor indexed="22"/>
        <bgColor indexed="23"/>
      </patternFill>
    </fill>
    <fill>
      <patternFill patternType="solid">
        <fgColor indexed="22"/>
        <bgColor indexed="27"/>
      </patternFill>
    </fill>
    <fill>
      <patternFill patternType="solid">
        <fgColor indexed="13"/>
        <bgColor indexed="64"/>
      </patternFill>
    </fill>
    <fill>
      <patternFill patternType="solid">
        <fgColor rgb="FFC0C0C0"/>
        <bgColor indexed="64"/>
      </patternFill>
    </fill>
    <fill>
      <patternFill patternType="solid">
        <fgColor rgb="FFFFCC00"/>
        <bgColor indexed="64"/>
      </patternFill>
    </fill>
    <fill>
      <patternFill patternType="solid">
        <fgColor theme="0"/>
        <bgColor indexed="64"/>
      </patternFill>
    </fill>
    <fill>
      <patternFill patternType="solid">
        <fgColor rgb="FFC0C0C0"/>
        <bgColor indexed="31"/>
      </patternFill>
    </fill>
  </fills>
  <borders count="88">
    <border>
      <left/>
      <right/>
      <top/>
      <bottom/>
      <diagonal/>
    </border>
    <border>
      <left style="thin">
        <color indexed="22"/>
      </left>
      <right style="thin">
        <color indexed="22"/>
      </right>
      <top style="thin">
        <color indexed="22"/>
      </top>
      <bottom style="thin">
        <color indexed="22"/>
      </bottom>
      <diagonal/>
    </border>
    <border>
      <left style="medium">
        <color indexed="1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thin">
        <color indexed="64"/>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style="thin">
        <color indexed="64"/>
      </right>
      <top/>
      <bottom/>
      <diagonal/>
    </border>
    <border>
      <left/>
      <right/>
      <top style="medium">
        <color indexed="10"/>
      </top>
      <bottom/>
      <diagonal/>
    </border>
    <border>
      <left/>
      <right/>
      <top style="medium">
        <color indexed="10"/>
      </top>
      <bottom style="thin">
        <color indexed="64"/>
      </bottom>
      <diagonal/>
    </border>
    <border>
      <left style="thin">
        <color indexed="64"/>
      </left>
      <right style="thin">
        <color indexed="64"/>
      </right>
      <top style="thin">
        <color indexed="64"/>
      </top>
      <bottom style="hair">
        <color indexed="64"/>
      </bottom>
      <diagonal/>
    </border>
    <border>
      <left/>
      <right/>
      <top/>
      <bottom style="thin">
        <color indexed="8"/>
      </bottom>
      <diagonal/>
    </border>
    <border>
      <left/>
      <right/>
      <top style="thin">
        <color indexed="8"/>
      </top>
      <bottom/>
      <diagonal/>
    </border>
    <border>
      <left/>
      <right/>
      <top/>
      <bottom style="medium">
        <color indexed="10"/>
      </bottom>
      <diagonal/>
    </border>
    <border>
      <left/>
      <right style="thin">
        <color indexed="22"/>
      </right>
      <top style="thin">
        <color indexed="22"/>
      </top>
      <bottom style="thin">
        <color indexed="22"/>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indexed="10"/>
      </top>
      <bottom/>
      <diagonal/>
    </border>
    <border>
      <left/>
      <right/>
      <top/>
      <bottom style="thin">
        <color indexed="10"/>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8"/>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indexed="64"/>
      </left>
      <right style="thin">
        <color indexed="8"/>
      </right>
      <top/>
      <bottom style="thin">
        <color indexed="64"/>
      </bottom>
      <diagonal/>
    </border>
    <border>
      <left style="thin">
        <color indexed="8"/>
      </left>
      <right style="thin">
        <color indexed="8"/>
      </right>
      <top/>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style="thin">
        <color indexed="64"/>
      </right>
      <top style="medium">
        <color indexed="10"/>
      </top>
      <bottom/>
      <diagonal/>
    </border>
    <border>
      <left style="thin">
        <color indexed="64"/>
      </left>
      <right/>
      <top style="medium">
        <color indexed="10"/>
      </top>
      <bottom/>
      <diagonal/>
    </border>
    <border>
      <left/>
      <right style="thin">
        <color indexed="64"/>
      </right>
      <top style="medium">
        <color indexed="10"/>
      </top>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style="thin">
        <color indexed="64"/>
      </left>
      <right/>
      <top style="thin">
        <color indexed="64"/>
      </top>
      <bottom style="thin">
        <color indexed="55"/>
      </bottom>
      <diagonal/>
    </border>
    <border>
      <left/>
      <right/>
      <top style="thin">
        <color indexed="64"/>
      </top>
      <bottom style="thin">
        <color indexed="55"/>
      </bottom>
      <diagonal/>
    </border>
    <border>
      <left/>
      <right style="thin">
        <color indexed="64"/>
      </right>
      <top style="thin">
        <color indexed="64"/>
      </top>
      <bottom style="thin">
        <color indexed="55"/>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14">
    <xf numFmtId="0" fontId="0" fillId="0" borderId="0"/>
    <xf numFmtId="0" fontId="14" fillId="0" borderId="0"/>
    <xf numFmtId="0" fontId="15" fillId="0" borderId="0"/>
    <xf numFmtId="0" fontId="5"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16" fillId="0" borderId="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cellStyleXfs>
  <cellXfs count="3045">
    <xf numFmtId="0" fontId="0" fillId="0" borderId="0" xfId="0"/>
    <xf numFmtId="0" fontId="2" fillId="0" borderId="0" xfId="0" applyFont="1"/>
    <xf numFmtId="0" fontId="4" fillId="0" borderId="0" xfId="0" applyFont="1" applyAlignment="1">
      <alignment horizontal="right"/>
    </xf>
    <xf numFmtId="0" fontId="2" fillId="0" borderId="0" xfId="0" applyFont="1" applyAlignment="1">
      <alignment horizontal="left"/>
    </xf>
    <xf numFmtId="0" fontId="2" fillId="0" borderId="2" xfId="0" applyFont="1" applyBorder="1"/>
    <xf numFmtId="0" fontId="3" fillId="0" borderId="0" xfId="0" applyFont="1" applyFill="1" applyBorder="1" applyAlignment="1">
      <alignment horizontal="center" vertical="center"/>
    </xf>
    <xf numFmtId="0" fontId="2" fillId="0" borderId="0" xfId="0" applyFont="1" applyAlignment="1">
      <alignment horizontal="center" vertical="center"/>
    </xf>
    <xf numFmtId="0" fontId="2" fillId="0" borderId="0" xfId="0" applyFont="1" applyFill="1" applyAlignment="1">
      <alignment horizontal="center" vertical="center"/>
    </xf>
    <xf numFmtId="0" fontId="4" fillId="0" borderId="0" xfId="0" applyFont="1" applyAlignment="1">
      <alignment horizontal="right" vertical="center"/>
    </xf>
    <xf numFmtId="0" fontId="6" fillId="0" borderId="0" xfId="3" applyNumberFormat="1" applyFont="1" applyFill="1" applyBorder="1" applyAlignment="1" applyProtection="1">
      <alignment horizontal="left" vertical="center"/>
    </xf>
    <xf numFmtId="0" fontId="6" fillId="0" borderId="0" xfId="3" applyFont="1" applyFill="1" applyAlignment="1">
      <alignment vertical="center"/>
    </xf>
    <xf numFmtId="0" fontId="2" fillId="0" borderId="0" xfId="0" applyNumberFormat="1" applyFont="1" applyAlignment="1">
      <alignment vertical="center"/>
    </xf>
    <xf numFmtId="0" fontId="4" fillId="0" borderId="0" xfId="0" applyNumberFormat="1" applyFont="1" applyFill="1" applyAlignment="1">
      <alignment horizontal="center" vertical="center" wrapText="1"/>
    </xf>
    <xf numFmtId="0" fontId="6" fillId="0" borderId="0" xfId="3" applyFont="1" applyFill="1" applyAlignment="1">
      <alignment vertical="center" wrapText="1"/>
    </xf>
    <xf numFmtId="0" fontId="4" fillId="0" borderId="0" xfId="0" applyFont="1" applyFill="1" applyAlignment="1">
      <alignment horizontal="left" vertical="center" wrapText="1"/>
    </xf>
    <xf numFmtId="0" fontId="4" fillId="0" borderId="0" xfId="0" applyFont="1" applyFill="1" applyAlignment="1">
      <alignment horizontal="center" vertical="center" wrapText="1"/>
    </xf>
    <xf numFmtId="0" fontId="4" fillId="0" borderId="0" xfId="0" applyFont="1" applyAlignment="1">
      <alignment vertical="center" wrapText="1"/>
    </xf>
    <xf numFmtId="0" fontId="2" fillId="0" borderId="0" xfId="0" applyFont="1" applyAlignment="1">
      <alignment vertical="center"/>
    </xf>
    <xf numFmtId="0" fontId="4" fillId="0" borderId="0" xfId="0" applyFont="1" applyFill="1" applyAlignment="1">
      <alignment horizontal="center" vertical="center"/>
    </xf>
    <xf numFmtId="0" fontId="6" fillId="0" borderId="0" xfId="3" applyFont="1" applyAlignment="1">
      <alignment vertical="center"/>
    </xf>
    <xf numFmtId="0" fontId="2" fillId="0" borderId="0" xfId="0" applyFont="1" applyAlignment="1">
      <alignment horizontal="left" vertical="center"/>
    </xf>
    <xf numFmtId="0" fontId="11" fillId="0" borderId="0" xfId="0" applyNumberFormat="1" applyFont="1" applyAlignment="1">
      <alignment vertical="center"/>
    </xf>
    <xf numFmtId="0" fontId="6" fillId="0" borderId="0" xfId="3" applyFont="1" applyBorder="1" applyAlignment="1">
      <alignment horizontal="left" vertical="center" wrapText="1"/>
    </xf>
    <xf numFmtId="0" fontId="2" fillId="0" borderId="0" xfId="0" applyFont="1" applyBorder="1" applyAlignment="1">
      <alignment horizontal="center" vertical="center"/>
    </xf>
    <xf numFmtId="0" fontId="4" fillId="0" borderId="0" xfId="0" applyFont="1" applyAlignment="1">
      <alignment horizontal="center" vertical="center"/>
    </xf>
    <xf numFmtId="0" fontId="4" fillId="0" borderId="0" xfId="0" applyNumberFormat="1" applyFont="1" applyAlignment="1">
      <alignment vertical="center"/>
    </xf>
    <xf numFmtId="0" fontId="4" fillId="0" borderId="0" xfId="0" applyFont="1" applyAlignment="1">
      <alignment horizontal="left" vertical="center" wrapText="1"/>
    </xf>
    <xf numFmtId="0" fontId="4" fillId="0" borderId="0" xfId="0" applyFont="1" applyAlignment="1">
      <alignment horizontal="center" vertical="center" wrapText="1"/>
    </xf>
    <xf numFmtId="49" fontId="2" fillId="0" borderId="0" xfId="0" applyNumberFormat="1" applyFont="1" applyAlignment="1">
      <alignment vertical="center"/>
    </xf>
    <xf numFmtId="16" fontId="2" fillId="0" borderId="0" xfId="0" applyNumberFormat="1" applyFont="1" applyAlignment="1">
      <alignment vertical="center"/>
    </xf>
    <xf numFmtId="0" fontId="2" fillId="0" borderId="0" xfId="0" applyFont="1" applyAlignment="1"/>
    <xf numFmtId="49" fontId="4" fillId="0" borderId="0" xfId="0" applyNumberFormat="1" applyFont="1" applyFill="1" applyAlignment="1">
      <alignment horizontal="left" vertical="center" wrapText="1"/>
    </xf>
    <xf numFmtId="0" fontId="2" fillId="0" borderId="0" xfId="0" applyFont="1" applyAlignment="1">
      <alignment horizontal="center" vertical="center" wrapText="1"/>
    </xf>
    <xf numFmtId="0" fontId="2" fillId="0" borderId="0" xfId="0" applyFont="1" applyAlignment="1">
      <alignment horizontal="center"/>
    </xf>
    <xf numFmtId="14" fontId="2" fillId="0" borderId="0" xfId="0" applyNumberFormat="1" applyFont="1" applyAlignment="1">
      <alignment horizontal="center" vertical="center"/>
    </xf>
    <xf numFmtId="0" fontId="2" fillId="0" borderId="0" xfId="0" applyFont="1" applyAlignment="1">
      <alignment horizontal="left" vertical="center" wrapText="1"/>
    </xf>
    <xf numFmtId="14" fontId="2" fillId="0" borderId="0" xfId="0" applyNumberFormat="1" applyFont="1" applyAlignment="1">
      <alignment horizontal="center"/>
    </xf>
    <xf numFmtId="0" fontId="2" fillId="0" borderId="0" xfId="0" applyFont="1" applyAlignment="1">
      <alignment vertical="top"/>
    </xf>
    <xf numFmtId="0" fontId="3" fillId="0" borderId="0" xfId="0" applyFont="1" applyBorder="1" applyAlignment="1">
      <alignment horizontal="center" vertical="center"/>
    </xf>
    <xf numFmtId="0" fontId="13" fillId="2" borderId="3" xfId="0" applyFont="1" applyFill="1" applyBorder="1" applyAlignment="1">
      <alignment horizontal="center" vertical="center"/>
    </xf>
    <xf numFmtId="0" fontId="13" fillId="2" borderId="3" xfId="0" applyFont="1" applyFill="1" applyBorder="1" applyAlignment="1">
      <alignment horizontal="center" vertical="center" wrapText="1"/>
    </xf>
    <xf numFmtId="0" fontId="19" fillId="2" borderId="3" xfId="0" applyFont="1" applyFill="1" applyBorder="1" applyAlignment="1">
      <alignment horizontal="left" vertical="center"/>
    </xf>
    <xf numFmtId="0" fontId="4" fillId="0" borderId="3" xfId="0" applyFont="1" applyBorder="1" applyAlignment="1">
      <alignment horizontal="left" vertical="center"/>
    </xf>
    <xf numFmtId="0" fontId="4" fillId="0" borderId="3"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vertical="center"/>
    </xf>
    <xf numFmtId="0" fontId="4" fillId="0" borderId="0" xfId="0" applyFont="1"/>
    <xf numFmtId="0" fontId="2" fillId="2" borderId="3" xfId="0" applyFont="1" applyFill="1" applyBorder="1" applyAlignment="1">
      <alignment horizontal="center" vertical="center"/>
    </xf>
    <xf numFmtId="0" fontId="2" fillId="2" borderId="3" xfId="0" applyFont="1" applyFill="1" applyBorder="1" applyAlignment="1">
      <alignment horizontal="center" vertical="center" wrapText="1"/>
    </xf>
    <xf numFmtId="0" fontId="2" fillId="0" borderId="3" xfId="0" applyFont="1" applyBorder="1" applyAlignment="1">
      <alignment vertical="center"/>
    </xf>
    <xf numFmtId="0" fontId="2" fillId="0" borderId="3" xfId="0" applyFont="1" applyBorder="1" applyAlignment="1">
      <alignment horizontal="center" vertical="center"/>
    </xf>
    <xf numFmtId="0" fontId="2" fillId="0" borderId="3" xfId="0" applyFont="1" applyBorder="1" applyAlignment="1">
      <alignment vertical="center" wrapText="1"/>
    </xf>
    <xf numFmtId="0" fontId="4" fillId="0" borderId="0" xfId="0" applyFont="1" applyAlignment="1">
      <alignment vertical="center"/>
    </xf>
    <xf numFmtId="0" fontId="4" fillId="0" borderId="0" xfId="0" applyFont="1" applyBorder="1" applyAlignment="1">
      <alignment vertical="center" wrapText="1"/>
    </xf>
    <xf numFmtId="0" fontId="4" fillId="0" borderId="0" xfId="0" applyFont="1" applyFill="1"/>
    <xf numFmtId="0" fontId="4" fillId="0" borderId="0" xfId="0" applyFont="1" applyBorder="1" applyAlignment="1">
      <alignment vertical="center"/>
    </xf>
    <xf numFmtId="14" fontId="19" fillId="0" borderId="0" xfId="0" applyNumberFormat="1" applyFont="1" applyBorder="1" applyAlignment="1"/>
    <xf numFmtId="0" fontId="4" fillId="2" borderId="5"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2" borderId="6" xfId="0" applyFont="1" applyFill="1" applyBorder="1" applyAlignment="1">
      <alignment horizontal="center" vertical="center"/>
    </xf>
    <xf numFmtId="0" fontId="19" fillId="2" borderId="4"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0"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0" xfId="0" applyFont="1" applyFill="1" applyBorder="1" applyAlignment="1">
      <alignment horizontal="center" vertical="center" wrapText="1"/>
    </xf>
    <xf numFmtId="0" fontId="4" fillId="0" borderId="0" xfId="0" applyFont="1" applyFill="1" applyBorder="1" applyAlignment="1">
      <alignment horizontal="center" vertical="center"/>
    </xf>
    <xf numFmtId="0" fontId="4" fillId="2" borderId="12" xfId="0" applyFont="1" applyFill="1" applyBorder="1" applyAlignment="1">
      <alignment horizontal="center" vertical="center" wrapText="1"/>
    </xf>
    <xf numFmtId="0" fontId="4" fillId="0" borderId="12" xfId="0" applyFont="1" applyFill="1" applyBorder="1" applyAlignment="1">
      <alignment horizontal="center" vertical="center"/>
    </xf>
    <xf numFmtId="0" fontId="4" fillId="2" borderId="12"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2" xfId="0" applyFont="1" applyFill="1" applyBorder="1" applyAlignment="1">
      <alignment horizontal="center" vertical="center" wrapText="1"/>
    </xf>
    <xf numFmtId="0" fontId="19" fillId="2" borderId="4" xfId="0" applyFont="1" applyFill="1" applyBorder="1" applyAlignment="1">
      <alignment vertical="center"/>
    </xf>
    <xf numFmtId="0" fontId="19" fillId="2" borderId="6" xfId="0" applyFont="1" applyFill="1" applyBorder="1" applyAlignment="1">
      <alignment vertical="center"/>
    </xf>
    <xf numFmtId="0" fontId="19" fillId="2" borderId="14" xfId="0" applyFont="1" applyFill="1" applyBorder="1" applyAlignment="1">
      <alignment vertical="center"/>
    </xf>
    <xf numFmtId="0" fontId="19" fillId="2" borderId="7" xfId="0" applyFont="1" applyFill="1" applyBorder="1" applyAlignment="1">
      <alignment vertical="center"/>
    </xf>
    <xf numFmtId="0" fontId="19" fillId="0" borderId="3" xfId="0" applyFont="1" applyFill="1" applyBorder="1" applyAlignment="1">
      <alignment horizontal="left" vertical="center"/>
    </xf>
    <xf numFmtId="0" fontId="4" fillId="0" borderId="3" xfId="0" applyNumberFormat="1" applyFont="1" applyFill="1" applyBorder="1" applyAlignment="1">
      <alignment horizontal="center" vertical="center"/>
    </xf>
    <xf numFmtId="0" fontId="4" fillId="0" borderId="4" xfId="0" applyNumberFormat="1" applyFont="1" applyFill="1" applyBorder="1" applyAlignment="1">
      <alignment horizontal="center" vertical="center"/>
    </xf>
    <xf numFmtId="0" fontId="4" fillId="2" borderId="3" xfId="0" applyFont="1" applyFill="1" applyBorder="1" applyAlignment="1">
      <alignment horizontal="center" vertical="center"/>
    </xf>
    <xf numFmtId="0" fontId="4" fillId="2" borderId="3" xfId="0" applyNumberFormat="1" applyFont="1" applyFill="1" applyBorder="1" applyAlignment="1">
      <alignment horizontal="center" vertical="center"/>
    </xf>
    <xf numFmtId="0" fontId="4" fillId="0" borderId="7" xfId="0" applyNumberFormat="1" applyFont="1" applyFill="1" applyBorder="1" applyAlignment="1">
      <alignment horizontal="center" vertical="center"/>
    </xf>
    <xf numFmtId="0" fontId="19" fillId="0" borderId="3" xfId="0" applyFont="1" applyFill="1" applyBorder="1" applyAlignment="1">
      <alignment horizontal="left" vertical="center" wrapText="1"/>
    </xf>
    <xf numFmtId="1" fontId="4" fillId="2" borderId="3" xfId="0" applyNumberFormat="1" applyFont="1" applyFill="1" applyBorder="1" applyAlignment="1">
      <alignment horizontal="center" vertical="center"/>
    </xf>
    <xf numFmtId="0" fontId="4" fillId="0" borderId="5" xfId="0" applyNumberFormat="1" applyFont="1" applyFill="1" applyBorder="1" applyAlignment="1">
      <alignment horizontal="center" vertical="center"/>
    </xf>
    <xf numFmtId="0" fontId="19" fillId="0" borderId="5" xfId="0" applyFont="1" applyFill="1" applyBorder="1" applyAlignment="1">
      <alignment horizontal="left" vertical="center"/>
    </xf>
    <xf numFmtId="0" fontId="4" fillId="0" borderId="0" xfId="0" applyFont="1" applyBorder="1"/>
    <xf numFmtId="0" fontId="19" fillId="0" borderId="3" xfId="0" applyFont="1" applyFill="1" applyBorder="1" applyAlignment="1">
      <alignment vertical="center"/>
    </xf>
    <xf numFmtId="0" fontId="4" fillId="0" borderId="4" xfId="0" applyFont="1" applyBorder="1" applyAlignment="1">
      <alignment horizontal="center" vertical="center"/>
    </xf>
    <xf numFmtId="0" fontId="4" fillId="2" borderId="5" xfId="0" applyFont="1" applyFill="1" applyBorder="1" applyAlignment="1">
      <alignment horizontal="center" vertical="center"/>
    </xf>
    <xf numFmtId="0" fontId="4" fillId="0" borderId="12" xfId="0" applyNumberFormat="1" applyFont="1" applyFill="1" applyBorder="1" applyAlignment="1">
      <alignment horizontal="center" vertical="center"/>
    </xf>
    <xf numFmtId="0" fontId="4" fillId="0" borderId="3" xfId="0" applyFont="1" applyFill="1" applyBorder="1" applyAlignment="1">
      <alignment horizontal="center" vertical="center"/>
    </xf>
    <xf numFmtId="0" fontId="19" fillId="0" borderId="3" xfId="0" applyFont="1" applyFill="1" applyBorder="1" applyAlignment="1">
      <alignment vertical="center" wrapText="1"/>
    </xf>
    <xf numFmtId="0" fontId="4" fillId="0" borderId="3" xfId="0" applyFont="1" applyFill="1" applyBorder="1" applyAlignment="1">
      <alignment horizontal="center" vertical="center" wrapText="1"/>
    </xf>
    <xf numFmtId="0" fontId="4" fillId="0" borderId="5" xfId="0" applyFont="1" applyBorder="1" applyAlignment="1">
      <alignment horizontal="left" vertical="center" wrapText="1"/>
    </xf>
    <xf numFmtId="0" fontId="4" fillId="0" borderId="5" xfId="0" applyFont="1" applyFill="1" applyBorder="1" applyAlignment="1">
      <alignment horizontal="center" vertical="center"/>
    </xf>
    <xf numFmtId="1" fontId="19" fillId="0" borderId="3" xfId="0" applyNumberFormat="1" applyFont="1" applyFill="1" applyBorder="1" applyAlignment="1">
      <alignment horizontal="left" vertical="center"/>
    </xf>
    <xf numFmtId="0" fontId="19" fillId="2" borderId="3" xfId="0" applyFont="1" applyFill="1" applyBorder="1" applyAlignment="1">
      <alignment horizontal="center" vertical="center" wrapText="1"/>
    </xf>
    <xf numFmtId="0" fontId="19" fillId="0" borderId="0" xfId="0" applyFont="1" applyFill="1" applyBorder="1" applyAlignment="1">
      <alignment vertical="center" wrapText="1"/>
    </xf>
    <xf numFmtId="0" fontId="4" fillId="0" borderId="0" xfId="0" applyNumberFormat="1" applyFont="1" applyBorder="1" applyAlignment="1">
      <alignment horizontal="center"/>
    </xf>
    <xf numFmtId="0" fontId="4" fillId="0" borderId="6" xfId="0" applyFont="1" applyFill="1" applyBorder="1" applyAlignment="1">
      <alignment horizontal="left" vertical="center" wrapText="1"/>
    </xf>
    <xf numFmtId="0" fontId="4" fillId="0" borderId="3" xfId="0" applyNumberFormat="1" applyFont="1" applyBorder="1" applyAlignment="1">
      <alignment horizontal="center" vertical="center"/>
    </xf>
    <xf numFmtId="0" fontId="4" fillId="3" borderId="3" xfId="0" applyFont="1" applyFill="1" applyBorder="1" applyAlignment="1">
      <alignment horizontal="left" vertical="center" wrapText="1"/>
    </xf>
    <xf numFmtId="0" fontId="4" fillId="0" borderId="0" xfId="0" applyFont="1" applyFill="1" applyBorder="1" applyAlignment="1">
      <alignment vertical="center"/>
    </xf>
    <xf numFmtId="0" fontId="4" fillId="3" borderId="3" xfId="0" applyNumberFormat="1" applyFont="1" applyFill="1" applyBorder="1" applyAlignment="1">
      <alignment horizontal="center" vertical="center"/>
    </xf>
    <xf numFmtId="1" fontId="4" fillId="3" borderId="4" xfId="0" applyNumberFormat="1" applyFont="1" applyFill="1" applyBorder="1" applyAlignment="1">
      <alignment horizontal="left" vertical="center"/>
    </xf>
    <xf numFmtId="1" fontId="4" fillId="3" borderId="6" xfId="0" applyNumberFormat="1" applyFont="1" applyFill="1" applyBorder="1" applyAlignment="1">
      <alignment horizontal="left" vertical="center"/>
    </xf>
    <xf numFmtId="1" fontId="4" fillId="3" borderId="7" xfId="0" applyNumberFormat="1" applyFont="1" applyFill="1" applyBorder="1" applyAlignment="1">
      <alignment horizontal="left" vertical="center"/>
    </xf>
    <xf numFmtId="0" fontId="4" fillId="0" borderId="3" xfId="0" applyNumberFormat="1" applyFont="1" applyBorder="1" applyAlignment="1">
      <alignment horizontal="center"/>
    </xf>
    <xf numFmtId="0" fontId="4" fillId="0" borderId="4" xfId="0" applyFont="1" applyFill="1" applyBorder="1" applyAlignment="1">
      <alignment horizontal="left" vertical="center"/>
    </xf>
    <xf numFmtId="0" fontId="4" fillId="0" borderId="0" xfId="0" applyNumberFormat="1" applyFont="1" applyBorder="1" applyAlignment="1">
      <alignment horizontal="center" vertical="center"/>
    </xf>
    <xf numFmtId="1" fontId="19" fillId="3" borderId="3" xfId="0" applyNumberFormat="1" applyFont="1" applyFill="1" applyBorder="1" applyAlignment="1">
      <alignment horizontal="left" vertical="center"/>
    </xf>
    <xf numFmtId="0" fontId="4" fillId="0" borderId="3" xfId="0" applyFont="1" applyFill="1" applyBorder="1" applyAlignment="1">
      <alignment horizontal="left" vertical="center" wrapText="1"/>
    </xf>
    <xf numFmtId="0" fontId="4" fillId="0" borderId="3" xfId="0" applyFont="1" applyFill="1" applyBorder="1" applyAlignment="1">
      <alignment horizontal="left" vertical="center"/>
    </xf>
    <xf numFmtId="0" fontId="4" fillId="0" borderId="3" xfId="0" applyFont="1" applyBorder="1" applyAlignment="1">
      <alignment horizontal="left" vertical="center" wrapText="1"/>
    </xf>
    <xf numFmtId="0" fontId="4" fillId="0" borderId="0" xfId="0" applyFont="1" applyFill="1" applyBorder="1" applyAlignment="1">
      <alignment vertical="center" wrapText="1"/>
    </xf>
    <xf numFmtId="0" fontId="19" fillId="4" borderId="3"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0" xfId="0" applyNumberFormat="1" applyFont="1" applyFill="1" applyBorder="1" applyAlignment="1">
      <alignment horizontal="center" vertical="center"/>
    </xf>
    <xf numFmtId="9" fontId="4" fillId="0" borderId="3" xfId="0" applyNumberFormat="1" applyFont="1" applyBorder="1" applyAlignment="1">
      <alignment horizontal="center" vertical="center"/>
    </xf>
    <xf numFmtId="0" fontId="4" fillId="0" borderId="0" xfId="0" applyFont="1" applyBorder="1" applyAlignment="1">
      <alignment horizontal="center"/>
    </xf>
    <xf numFmtId="0" fontId="19" fillId="4" borderId="3" xfId="0" applyFont="1" applyFill="1" applyBorder="1" applyAlignment="1">
      <alignment horizontal="center" vertical="center"/>
    </xf>
    <xf numFmtId="0" fontId="4" fillId="0" borderId="3" xfId="0" applyFont="1" applyBorder="1" applyAlignment="1">
      <alignment horizontal="center"/>
    </xf>
    <xf numFmtId="9" fontId="4" fillId="0" borderId="3" xfId="0" applyNumberFormat="1"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wrapText="1"/>
    </xf>
    <xf numFmtId="0" fontId="4" fillId="0" borderId="7" xfId="0" applyFont="1" applyBorder="1" applyAlignment="1">
      <alignment horizontal="center" vertical="center" wrapText="1"/>
    </xf>
    <xf numFmtId="0" fontId="4" fillId="0" borderId="14" xfId="0" applyFont="1" applyBorder="1" applyAlignment="1">
      <alignment horizontal="left" vertical="center" wrapText="1"/>
    </xf>
    <xf numFmtId="0" fontId="4" fillId="0" borderId="0" xfId="0" applyFont="1" applyFill="1" applyBorder="1" applyAlignment="1">
      <alignment horizontal="left" vertical="center"/>
    </xf>
    <xf numFmtId="0" fontId="4" fillId="0" borderId="0" xfId="0" applyFont="1" applyBorder="1" applyAlignment="1">
      <alignment horizontal="center" vertical="center" wrapText="1"/>
    </xf>
    <xf numFmtId="9" fontId="4" fillId="0" borderId="0" xfId="0" applyNumberFormat="1" applyFont="1"/>
    <xf numFmtId="0" fontId="19" fillId="5" borderId="3"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15" xfId="0" applyFont="1" applyFill="1" applyBorder="1" applyAlignment="1">
      <alignment horizontal="center" vertical="center" wrapText="1"/>
    </xf>
    <xf numFmtId="0" fontId="19" fillId="5" borderId="3" xfId="0" applyFont="1" applyFill="1" applyBorder="1" applyAlignment="1">
      <alignment horizontal="center" vertical="center"/>
    </xf>
    <xf numFmtId="9" fontId="4" fillId="0" borderId="0" xfId="0" applyNumberFormat="1" applyFont="1" applyBorder="1" applyAlignment="1">
      <alignment horizontal="center" vertical="center"/>
    </xf>
    <xf numFmtId="9" fontId="4" fillId="0" borderId="5" xfId="0" applyNumberFormat="1" applyFont="1" applyBorder="1" applyAlignment="1">
      <alignment horizontal="center" vertical="center"/>
    </xf>
    <xf numFmtId="9" fontId="4" fillId="0" borderId="4" xfId="0" applyNumberFormat="1" applyFont="1" applyBorder="1" applyAlignment="1">
      <alignment horizontal="center" vertical="center"/>
    </xf>
    <xf numFmtId="9" fontId="4" fillId="0" borderId="8" xfId="0" applyNumberFormat="1" applyFont="1" applyBorder="1" applyAlignment="1">
      <alignment horizontal="center" vertical="center"/>
    </xf>
    <xf numFmtId="0" fontId="5" fillId="0" borderId="0" xfId="3" applyAlignment="1">
      <alignment horizontal="left"/>
    </xf>
    <xf numFmtId="0" fontId="6" fillId="0" borderId="0" xfId="3" applyNumberFormat="1" applyFont="1" applyFill="1" applyBorder="1" applyAlignment="1" applyProtection="1"/>
    <xf numFmtId="14" fontId="19" fillId="0" borderId="0" xfId="0" applyNumberFormat="1" applyFont="1" applyBorder="1" applyAlignment="1">
      <alignment horizontal="center"/>
    </xf>
    <xf numFmtId="0" fontId="4" fillId="2" borderId="3"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4" fillId="3" borderId="10" xfId="0" applyFont="1" applyFill="1" applyBorder="1" applyAlignment="1">
      <alignment horizontal="center" vertical="center"/>
    </xf>
    <xf numFmtId="0" fontId="19" fillId="0" borderId="3" xfId="0" applyNumberFormat="1" applyFont="1" applyFill="1" applyBorder="1" applyAlignment="1">
      <alignment horizontal="left" vertical="center"/>
    </xf>
    <xf numFmtId="0" fontId="4" fillId="2" borderId="5" xfId="0" applyNumberFormat="1" applyFont="1" applyFill="1" applyBorder="1" applyAlignment="1">
      <alignment horizontal="center" vertical="center"/>
    </xf>
    <xf numFmtId="0" fontId="19" fillId="0" borderId="3" xfId="0" applyNumberFormat="1" applyFont="1" applyFill="1" applyBorder="1" applyAlignment="1">
      <alignment horizontal="left" vertical="center" wrapText="1"/>
    </xf>
    <xf numFmtId="0" fontId="19" fillId="0" borderId="5" xfId="0" applyNumberFormat="1" applyFont="1" applyFill="1" applyBorder="1" applyAlignment="1">
      <alignment horizontal="left" vertical="center"/>
    </xf>
    <xf numFmtId="0" fontId="19" fillId="0" borderId="3" xfId="0" applyNumberFormat="1" applyFont="1" applyFill="1" applyBorder="1" applyAlignment="1">
      <alignment vertical="center"/>
    </xf>
    <xf numFmtId="0" fontId="4" fillId="2" borderId="3"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19" fillId="0" borderId="0" xfId="0" applyFont="1" applyFill="1" applyBorder="1" applyAlignment="1">
      <alignment vertical="center"/>
    </xf>
    <xf numFmtId="0" fontId="19" fillId="0" borderId="3" xfId="0" applyFont="1" applyFill="1" applyBorder="1" applyAlignment="1">
      <alignment horizontal="center" vertical="center"/>
    </xf>
    <xf numFmtId="0" fontId="19" fillId="2" borderId="3"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19" fillId="0" borderId="3" xfId="0" applyFont="1" applyFill="1" applyBorder="1" applyAlignment="1">
      <alignment horizontal="center" vertical="center" wrapText="1"/>
    </xf>
    <xf numFmtId="0" fontId="4" fillId="2" borderId="8" xfId="0" applyNumberFormat="1" applyFont="1" applyFill="1" applyBorder="1" applyAlignment="1">
      <alignment horizontal="center" vertical="center"/>
    </xf>
    <xf numFmtId="0" fontId="4" fillId="2" borderId="12" xfId="0" applyNumberFormat="1" applyFont="1" applyFill="1" applyBorder="1" applyAlignment="1">
      <alignment horizontal="center" vertical="center"/>
    </xf>
    <xf numFmtId="0" fontId="4" fillId="2" borderId="13" xfId="0" applyNumberFormat="1" applyFont="1" applyFill="1" applyBorder="1" applyAlignment="1">
      <alignment horizontal="center" vertical="center"/>
    </xf>
    <xf numFmtId="172" fontId="4" fillId="0" borderId="0" xfId="0" applyNumberFormat="1" applyFont="1" applyFill="1" applyBorder="1" applyAlignment="1">
      <alignment horizontal="center" vertical="center"/>
    </xf>
    <xf numFmtId="0" fontId="19" fillId="2" borderId="8" xfId="0" applyFont="1" applyFill="1" applyBorder="1" applyAlignment="1">
      <alignment horizontal="center" vertical="center" wrapText="1"/>
    </xf>
    <xf numFmtId="0" fontId="19" fillId="2" borderId="12" xfId="0" applyFont="1" applyFill="1" applyBorder="1" applyAlignment="1">
      <alignment horizontal="center" vertical="center"/>
    </xf>
    <xf numFmtId="0" fontId="4" fillId="0" borderId="5" xfId="0" applyFont="1" applyFill="1" applyBorder="1" applyAlignment="1">
      <alignment horizontal="left" vertical="center" wrapText="1"/>
    </xf>
    <xf numFmtId="2" fontId="2" fillId="0" borderId="3" xfId="0" applyNumberFormat="1" applyFont="1" applyFill="1" applyBorder="1" applyAlignment="1">
      <alignment horizontal="center" vertical="center"/>
    </xf>
    <xf numFmtId="1" fontId="2" fillId="0" borderId="4" xfId="0" applyNumberFormat="1" applyFont="1" applyFill="1" applyBorder="1" applyAlignment="1">
      <alignment horizontal="center" vertical="center"/>
    </xf>
    <xf numFmtId="0" fontId="2" fillId="0" borderId="3" xfId="0" applyNumberFormat="1" applyFont="1" applyFill="1" applyBorder="1" applyAlignment="1">
      <alignment horizontal="center" vertical="center"/>
    </xf>
    <xf numFmtId="0" fontId="4" fillId="0" borderId="12" xfId="0" applyFont="1" applyFill="1" applyBorder="1" applyAlignment="1">
      <alignment horizontal="left" vertical="center" wrapText="1"/>
    </xf>
    <xf numFmtId="1" fontId="4" fillId="3" borderId="3" xfId="0" applyNumberFormat="1" applyFont="1" applyFill="1" applyBorder="1" applyAlignment="1">
      <alignment horizontal="center" vertical="center"/>
    </xf>
    <xf numFmtId="172" fontId="4" fillId="0" borderId="0" xfId="0" applyNumberFormat="1" applyFont="1" applyFill="1" applyBorder="1" applyAlignment="1" applyProtection="1">
      <alignment horizontal="center" vertical="center" wrapText="1"/>
      <protection locked="0"/>
    </xf>
    <xf numFmtId="0" fontId="4" fillId="0" borderId="13" xfId="0" applyFont="1" applyFill="1" applyBorder="1" applyAlignment="1">
      <alignment horizontal="left" vertical="center" wrapText="1"/>
    </xf>
    <xf numFmtId="0" fontId="2" fillId="0" borderId="3" xfId="0" applyFont="1" applyBorder="1" applyAlignment="1">
      <alignment horizontal="center" vertical="center" wrapText="1"/>
    </xf>
    <xf numFmtId="0" fontId="4" fillId="0" borderId="0" xfId="0" applyFont="1" applyFill="1" applyBorder="1"/>
    <xf numFmtId="0" fontId="4" fillId="0" borderId="3" xfId="0" applyFont="1" applyBorder="1" applyAlignment="1">
      <alignment horizontal="left"/>
    </xf>
    <xf numFmtId="0" fontId="19" fillId="5" borderId="8" xfId="0" applyFont="1" applyFill="1" applyBorder="1" applyAlignment="1">
      <alignment horizontal="center" vertical="center" wrapText="1"/>
    </xf>
    <xf numFmtId="0" fontId="19" fillId="0" borderId="0" xfId="0" applyFont="1"/>
    <xf numFmtId="0" fontId="19" fillId="0" borderId="0" xfId="0" applyFont="1" applyAlignment="1">
      <alignment horizontal="left"/>
    </xf>
    <xf numFmtId="0" fontId="4" fillId="0" borderId="0" xfId="0" applyFont="1" applyAlignment="1"/>
    <xf numFmtId="0" fontId="4" fillId="0" borderId="0" xfId="0" applyFont="1" applyFill="1" applyAlignment="1">
      <alignment horizontal="left"/>
    </xf>
    <xf numFmtId="0" fontId="19" fillId="0" borderId="0" xfId="0" applyFont="1" applyFill="1" applyBorder="1" applyAlignment="1">
      <alignment horizontal="center" vertical="center"/>
    </xf>
    <xf numFmtId="1" fontId="4" fillId="0" borderId="0" xfId="0" applyNumberFormat="1" applyFont="1" applyFill="1" applyBorder="1" applyAlignment="1">
      <alignment horizontal="right" vertical="center"/>
    </xf>
    <xf numFmtId="0" fontId="4" fillId="3" borderId="5"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3" borderId="12" xfId="0" applyFont="1" applyFill="1" applyBorder="1" applyAlignment="1">
      <alignment horizontal="center" vertical="center" wrapText="1"/>
    </xf>
    <xf numFmtId="2" fontId="4" fillId="0" borderId="4" xfId="0" applyNumberFormat="1" applyFont="1" applyFill="1" applyBorder="1" applyAlignment="1">
      <alignment horizontal="center" vertical="center" wrapText="1"/>
    </xf>
    <xf numFmtId="2" fontId="4" fillId="2" borderId="4" xfId="0" applyNumberFormat="1" applyFont="1" applyFill="1" applyBorder="1" applyAlignment="1">
      <alignment horizontal="center" vertical="center" wrapText="1"/>
    </xf>
    <xf numFmtId="0" fontId="4" fillId="0" borderId="4" xfId="0" applyFont="1" applyFill="1" applyBorder="1" applyAlignment="1">
      <alignment vertical="center" wrapText="1"/>
    </xf>
    <xf numFmtId="0" fontId="4" fillId="0" borderId="16" xfId="0" applyNumberFormat="1" applyFont="1" applyFill="1" applyBorder="1" applyAlignment="1">
      <alignment vertical="center" wrapText="1"/>
    </xf>
    <xf numFmtId="0" fontId="4" fillId="0" borderId="17" xfId="0" applyNumberFormat="1" applyFont="1" applyFill="1" applyBorder="1" applyAlignment="1">
      <alignment vertical="center" wrapText="1"/>
    </xf>
    <xf numFmtId="0" fontId="4" fillId="0" borderId="18" xfId="0" applyNumberFormat="1" applyFont="1" applyFill="1" applyBorder="1" applyAlignment="1">
      <alignment vertical="center" wrapText="1"/>
    </xf>
    <xf numFmtId="0" fontId="4" fillId="0" borderId="19" xfId="0" applyNumberFormat="1" applyFont="1" applyFill="1" applyBorder="1" applyAlignment="1">
      <alignment vertical="center" wrapText="1"/>
    </xf>
    <xf numFmtId="0" fontId="4" fillId="0" borderId="20" xfId="0" applyNumberFormat="1" applyFont="1" applyFill="1" applyBorder="1" applyAlignment="1">
      <alignment horizontal="right" vertical="center" wrapText="1"/>
    </xf>
    <xf numFmtId="0" fontId="4" fillId="0" borderId="21" xfId="0" applyNumberFormat="1" applyFont="1" applyFill="1" applyBorder="1" applyAlignment="1">
      <alignment horizontal="right" vertical="center" wrapText="1"/>
    </xf>
    <xf numFmtId="0" fontId="4" fillId="0" borderId="13" xfId="0" applyNumberFormat="1" applyFont="1" applyFill="1" applyBorder="1" applyAlignment="1">
      <alignment horizontal="left" vertical="center" wrapText="1"/>
    </xf>
    <xf numFmtId="1" fontId="4" fillId="0" borderId="4" xfId="0" applyNumberFormat="1" applyFont="1" applyFill="1" applyBorder="1" applyAlignment="1">
      <alignment horizontal="center" vertical="center"/>
    </xf>
    <xf numFmtId="0" fontId="2" fillId="0" borderId="22" xfId="0" applyNumberFormat="1" applyFont="1" applyBorder="1" applyAlignment="1">
      <alignment horizontal="right"/>
    </xf>
    <xf numFmtId="0" fontId="4" fillId="0" borderId="23" xfId="0" applyNumberFormat="1" applyFont="1" applyFill="1" applyBorder="1" applyAlignment="1">
      <alignment horizontal="right" vertical="center" wrapText="1"/>
    </xf>
    <xf numFmtId="0" fontId="4" fillId="0" borderId="22" xfId="0" applyNumberFormat="1" applyFont="1" applyFill="1" applyBorder="1" applyAlignment="1">
      <alignment horizontal="right" vertical="center" wrapText="1"/>
    </xf>
    <xf numFmtId="0" fontId="4" fillId="0" borderId="24" xfId="0" applyNumberFormat="1" applyFont="1" applyFill="1" applyBorder="1" applyAlignment="1">
      <alignment horizontal="right" vertical="center" wrapText="1"/>
    </xf>
    <xf numFmtId="0" fontId="4" fillId="0" borderId="3" xfId="0" applyNumberFormat="1" applyFont="1" applyFill="1" applyBorder="1" applyAlignment="1">
      <alignment horizontal="left" vertical="center" wrapText="1"/>
    </xf>
    <xf numFmtId="0" fontId="19" fillId="2" borderId="3" xfId="0" applyNumberFormat="1" applyFont="1" applyFill="1" applyBorder="1" applyAlignment="1">
      <alignment horizontal="center" vertical="center"/>
    </xf>
    <xf numFmtId="0" fontId="4" fillId="0" borderId="3" xfId="0" applyNumberFormat="1" applyFont="1" applyFill="1" applyBorder="1" applyAlignment="1" applyProtection="1">
      <alignment horizontal="center" vertical="center" wrapText="1"/>
      <protection locked="0"/>
    </xf>
    <xf numFmtId="0" fontId="4" fillId="2"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lignment vertical="center" wrapText="1"/>
    </xf>
    <xf numFmtId="0" fontId="4" fillId="2" borderId="4"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protection locked="0"/>
    </xf>
    <xf numFmtId="0" fontId="19" fillId="0" borderId="3" xfId="0" applyNumberFormat="1" applyFont="1" applyFill="1" applyBorder="1" applyAlignment="1">
      <alignment vertical="center" wrapText="1"/>
    </xf>
    <xf numFmtId="2" fontId="4" fillId="0" borderId="3" xfId="0" applyNumberFormat="1" applyFont="1" applyFill="1" applyBorder="1" applyAlignment="1">
      <alignment horizontal="center" vertical="center"/>
    </xf>
    <xf numFmtId="2" fontId="4" fillId="2" borderId="4" xfId="0" applyNumberFormat="1" applyFont="1" applyFill="1" applyBorder="1" applyAlignment="1">
      <alignment horizontal="center" vertical="center"/>
    </xf>
    <xf numFmtId="2" fontId="4" fillId="2" borderId="3" xfId="0" applyNumberFormat="1" applyFont="1" applyFill="1" applyBorder="1" applyAlignment="1">
      <alignment horizontal="center" vertical="center"/>
    </xf>
    <xf numFmtId="0" fontId="19" fillId="2" borderId="3" xfId="0" applyNumberFormat="1" applyFont="1" applyFill="1" applyBorder="1" applyAlignment="1" applyProtection="1">
      <alignment horizontal="center" vertical="center" wrapText="1"/>
      <protection locked="0"/>
    </xf>
    <xf numFmtId="2" fontId="4" fillId="3" borderId="3" xfId="0" applyNumberFormat="1" applyFont="1" applyFill="1" applyBorder="1" applyAlignment="1">
      <alignment horizontal="center" vertical="center"/>
    </xf>
    <xf numFmtId="0" fontId="19" fillId="2" borderId="3" xfId="0" applyFont="1" applyFill="1" applyBorder="1" applyAlignment="1">
      <alignment vertical="center" wrapText="1"/>
    </xf>
    <xf numFmtId="0" fontId="4" fillId="0" borderId="3" xfId="0" applyFont="1" applyFill="1" applyBorder="1" applyAlignment="1"/>
    <xf numFmtId="0" fontId="4" fillId="0" borderId="3" xfId="0" applyFont="1" applyFill="1" applyBorder="1" applyAlignment="1">
      <alignment horizontal="left"/>
    </xf>
    <xf numFmtId="0" fontId="4" fillId="3" borderId="3" xfId="0" applyFont="1" applyFill="1" applyBorder="1" applyAlignment="1"/>
    <xf numFmtId="0" fontId="4" fillId="0" borderId="0" xfId="0" applyFont="1" applyFill="1" applyAlignment="1">
      <alignment vertical="center" wrapText="1"/>
    </xf>
    <xf numFmtId="0" fontId="19" fillId="0" borderId="3" xfId="0" applyFont="1" applyBorder="1" applyAlignment="1">
      <alignment vertical="center" wrapText="1"/>
    </xf>
    <xf numFmtId="0" fontId="19" fillId="0" borderId="3" xfId="0" applyFont="1" applyBorder="1" applyAlignment="1">
      <alignment vertical="center"/>
    </xf>
    <xf numFmtId="0" fontId="4" fillId="4" borderId="4" xfId="0" applyFont="1" applyFill="1" applyBorder="1" applyAlignment="1">
      <alignment horizontal="center" vertical="center" wrapText="1"/>
    </xf>
    <xf numFmtId="0" fontId="4" fillId="4" borderId="3" xfId="0" applyFont="1" applyFill="1" applyBorder="1" applyAlignment="1">
      <alignment horizontal="center" vertical="center" wrapText="1"/>
    </xf>
    <xf numFmtId="2" fontId="4" fillId="0" borderId="4" xfId="0" applyNumberFormat="1" applyFont="1" applyFill="1" applyBorder="1" applyAlignment="1">
      <alignment horizontal="center" vertical="center"/>
    </xf>
    <xf numFmtId="0" fontId="19" fillId="0" borderId="3" xfId="0" applyFont="1" applyFill="1" applyBorder="1" applyAlignment="1" applyProtection="1">
      <alignment horizontal="center" vertical="center" wrapText="1"/>
      <protection locked="0"/>
    </xf>
    <xf numFmtId="4" fontId="4" fillId="0" borderId="3" xfId="0" applyNumberFormat="1" applyFont="1" applyFill="1" applyBorder="1" applyAlignment="1">
      <alignment horizontal="center" vertical="center"/>
    </xf>
    <xf numFmtId="4" fontId="4" fillId="0" borderId="3" xfId="0" applyNumberFormat="1" applyFont="1" applyFill="1" applyBorder="1" applyAlignment="1">
      <alignment horizontal="center" vertical="center" wrapText="1"/>
    </xf>
    <xf numFmtId="0" fontId="2" fillId="0" borderId="3" xfId="0" applyFont="1" applyBorder="1"/>
    <xf numFmtId="0" fontId="19" fillId="0" borderId="0" xfId="0" applyFont="1" applyFill="1" applyBorder="1" applyAlignment="1"/>
    <xf numFmtId="14" fontId="19" fillId="0" borderId="14" xfId="0" applyNumberFormat="1" applyFont="1" applyBorder="1" applyAlignment="1">
      <alignment horizontal="center"/>
    </xf>
    <xf numFmtId="0" fontId="19" fillId="0" borderId="14" xfId="0" applyFont="1" applyBorder="1" applyAlignment="1"/>
    <xf numFmtId="0" fontId="4" fillId="0" borderId="0" xfId="0" applyFont="1" applyFill="1" applyAlignment="1">
      <alignment horizontal="right"/>
    </xf>
    <xf numFmtId="0" fontId="4" fillId="0" borderId="7" xfId="0" applyFont="1" applyFill="1" applyBorder="1" applyAlignment="1">
      <alignment horizontal="center" vertical="center" wrapText="1"/>
    </xf>
    <xf numFmtId="0" fontId="26" fillId="0" borderId="0" xfId="0" applyFont="1" applyFill="1"/>
    <xf numFmtId="0" fontId="19" fillId="0" borderId="0" xfId="0" applyFont="1" applyFill="1"/>
    <xf numFmtId="0" fontId="27" fillId="0" borderId="0" xfId="0" applyFont="1" applyFill="1"/>
    <xf numFmtId="0" fontId="26" fillId="0" borderId="0" xfId="0" applyFont="1" applyFill="1" applyBorder="1"/>
    <xf numFmtId="0" fontId="19" fillId="2" borderId="3" xfId="0" applyFont="1" applyFill="1" applyBorder="1" applyAlignment="1">
      <alignment horizontal="center" vertical="center"/>
    </xf>
    <xf numFmtId="0" fontId="4" fillId="0" borderId="1" xfId="0" applyFont="1" applyFill="1" applyBorder="1"/>
    <xf numFmtId="1" fontId="4" fillId="0" borderId="3" xfId="0" applyNumberFormat="1" applyFont="1" applyFill="1" applyBorder="1" applyAlignment="1">
      <alignment horizontal="center" vertical="center"/>
    </xf>
    <xf numFmtId="0" fontId="19" fillId="0" borderId="0" xfId="0" applyFont="1" applyBorder="1" applyAlignment="1">
      <alignment horizontal="center"/>
    </xf>
    <xf numFmtId="1" fontId="19" fillId="0" borderId="0" xfId="0" applyNumberFormat="1" applyFont="1" applyFill="1" applyBorder="1" applyAlignment="1">
      <alignment vertical="center" wrapText="1"/>
    </xf>
    <xf numFmtId="1" fontId="4" fillId="0" borderId="3" xfId="0" applyNumberFormat="1" applyFont="1" applyFill="1" applyBorder="1" applyAlignment="1">
      <alignment horizontal="center" vertical="center" wrapText="1"/>
    </xf>
    <xf numFmtId="9" fontId="19" fillId="0" borderId="3" xfId="0" applyNumberFormat="1" applyFont="1" applyFill="1" applyBorder="1" applyAlignment="1">
      <alignment horizontal="center" vertical="center"/>
    </xf>
    <xf numFmtId="0" fontId="13" fillId="2" borderId="3"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xf>
    <xf numFmtId="0" fontId="2" fillId="0" borderId="5" xfId="0" applyNumberFormat="1" applyFont="1" applyFill="1" applyBorder="1" applyAlignment="1">
      <alignment horizontal="center" vertical="center"/>
    </xf>
    <xf numFmtId="2" fontId="2" fillId="0" borderId="5" xfId="0" applyNumberFormat="1" applyFont="1" applyFill="1" applyBorder="1" applyAlignment="1">
      <alignment horizontal="center" vertical="center"/>
    </xf>
    <xf numFmtId="0" fontId="2" fillId="0" borderId="12" xfId="0" applyNumberFormat="1" applyFont="1" applyFill="1" applyBorder="1" applyAlignment="1">
      <alignment horizontal="center" vertical="center"/>
    </xf>
    <xf numFmtId="0" fontId="11" fillId="0" borderId="0" xfId="0" applyFont="1"/>
    <xf numFmtId="0" fontId="24" fillId="0" borderId="0" xfId="0" applyFont="1"/>
    <xf numFmtId="0" fontId="5" fillId="0" borderId="0" xfId="3" applyFont="1" applyAlignment="1"/>
    <xf numFmtId="0" fontId="24" fillId="0" borderId="0" xfId="0" applyFont="1" applyFill="1"/>
    <xf numFmtId="0" fontId="24" fillId="0" borderId="0" xfId="0" applyFont="1" applyFill="1" applyBorder="1"/>
    <xf numFmtId="0" fontId="24" fillId="0" borderId="0" xfId="0" applyFont="1" applyFill="1" applyAlignment="1">
      <alignment horizontal="left"/>
    </xf>
    <xf numFmtId="0" fontId="7" fillId="0" borderId="0" xfId="3" applyNumberFormat="1" applyFont="1" applyFill="1" applyBorder="1" applyAlignment="1" applyProtection="1"/>
    <xf numFmtId="0" fontId="24" fillId="0" borderId="0" xfId="0" applyFont="1" applyFill="1" applyAlignment="1">
      <alignment horizontal="right"/>
    </xf>
    <xf numFmtId="14" fontId="29" fillId="0" borderId="14" xfId="0" applyNumberFormat="1" applyFont="1" applyBorder="1" applyAlignment="1">
      <alignment horizontal="center" vertical="center"/>
    </xf>
    <xf numFmtId="0" fontId="29" fillId="2" borderId="3" xfId="0" applyFont="1" applyFill="1" applyBorder="1" applyAlignment="1">
      <alignment horizontal="center" vertical="center"/>
    </xf>
    <xf numFmtId="0" fontId="29" fillId="2" borderId="3" xfId="0" applyFont="1" applyFill="1" applyBorder="1" applyAlignment="1">
      <alignment horizontal="center" vertical="center" wrapText="1"/>
    </xf>
    <xf numFmtId="0" fontId="24" fillId="0" borderId="3" xfId="0" applyFont="1" applyFill="1" applyBorder="1" applyAlignment="1">
      <alignment horizontal="center" vertical="center"/>
    </xf>
    <xf numFmtId="0" fontId="24" fillId="0" borderId="3" xfId="0" applyFont="1" applyFill="1" applyBorder="1" applyAlignment="1">
      <alignment horizontal="center" vertical="center" wrapText="1"/>
    </xf>
    <xf numFmtId="2" fontId="24" fillId="0" borderId="3" xfId="0" applyNumberFormat="1" applyFont="1" applyFill="1" applyBorder="1" applyAlignment="1">
      <alignment horizontal="center" vertical="center"/>
    </xf>
    <xf numFmtId="0" fontId="24" fillId="0" borderId="3" xfId="0" applyFont="1" applyFill="1" applyBorder="1"/>
    <xf numFmtId="9" fontId="29" fillId="0" borderId="3" xfId="0" applyNumberFormat="1" applyFont="1" applyFill="1" applyBorder="1" applyAlignment="1">
      <alignment horizontal="center" vertical="center"/>
    </xf>
    <xf numFmtId="0" fontId="4" fillId="0" borderId="0" xfId="0" applyFont="1" applyBorder="1" applyAlignment="1"/>
    <xf numFmtId="1" fontId="4" fillId="0" borderId="14" xfId="0" applyNumberFormat="1" applyFont="1" applyFill="1" applyBorder="1" applyAlignment="1" applyProtection="1">
      <alignment horizontal="right" vertical="center" wrapText="1"/>
    </xf>
    <xf numFmtId="0" fontId="19" fillId="0" borderId="14" xfId="0" applyFont="1" applyFill="1" applyBorder="1" applyAlignment="1">
      <alignment vertical="center"/>
    </xf>
    <xf numFmtId="0" fontId="4" fillId="0" borderId="14" xfId="0" applyFont="1" applyFill="1" applyBorder="1" applyAlignment="1">
      <alignment horizontal="right" vertical="center"/>
    </xf>
    <xf numFmtId="0" fontId="4" fillId="0" borderId="3" xfId="0" applyFont="1" applyFill="1" applyBorder="1" applyAlignment="1">
      <alignment vertical="center" wrapText="1"/>
    </xf>
    <xf numFmtId="0" fontId="4" fillId="0" borderId="3" xfId="0" applyFont="1" applyBorder="1" applyAlignment="1"/>
    <xf numFmtId="0" fontId="4" fillId="0" borderId="12" xfId="0" applyFont="1" applyFill="1" applyBorder="1" applyAlignment="1">
      <alignment vertical="center" wrapText="1"/>
    </xf>
    <xf numFmtId="2" fontId="4" fillId="0" borderId="3" xfId="0" applyNumberFormat="1" applyFont="1" applyFill="1" applyBorder="1" applyAlignment="1">
      <alignment horizontal="center" vertical="center" wrapText="1"/>
    </xf>
    <xf numFmtId="0" fontId="4" fillId="0" borderId="5" xfId="0" applyFont="1" applyFill="1" applyBorder="1" applyAlignment="1">
      <alignment vertical="center" wrapText="1"/>
    </xf>
    <xf numFmtId="0" fontId="33" fillId="0" borderId="3" xfId="0" applyFont="1" applyFill="1" applyBorder="1" applyAlignment="1">
      <alignment horizontal="center" vertical="center"/>
    </xf>
    <xf numFmtId="3" fontId="4" fillId="0" borderId="3" xfId="0" applyNumberFormat="1" applyFont="1" applyFill="1" applyBorder="1" applyAlignment="1">
      <alignment horizontal="center" vertical="center"/>
    </xf>
    <xf numFmtId="0" fontId="4" fillId="0" borderId="5" xfId="0" applyFont="1" applyFill="1" applyBorder="1" applyAlignment="1">
      <alignment vertical="center"/>
    </xf>
    <xf numFmtId="0" fontId="4" fillId="0" borderId="3" xfId="0" applyFont="1" applyBorder="1"/>
    <xf numFmtId="0" fontId="4" fillId="0" borderId="3" xfId="0" applyFont="1" applyFill="1" applyBorder="1" applyAlignment="1">
      <alignment vertical="center"/>
    </xf>
    <xf numFmtId="0" fontId="4" fillId="0" borderId="0" xfId="0" applyFont="1" applyFill="1" applyAlignment="1">
      <alignment vertical="center"/>
    </xf>
    <xf numFmtId="14" fontId="2" fillId="0" borderId="0" xfId="0" applyNumberFormat="1" applyFont="1" applyBorder="1" applyAlignment="1">
      <alignment horizontal="center" vertical="center"/>
    </xf>
    <xf numFmtId="0" fontId="4" fillId="0" borderId="5" xfId="0" applyFont="1" applyBorder="1" applyAlignment="1">
      <alignment horizontal="center" vertical="center"/>
    </xf>
    <xf numFmtId="0" fontId="4" fillId="0" borderId="7" xfId="0" applyFont="1" applyFill="1" applyBorder="1" applyAlignment="1">
      <alignment vertical="center" wrapText="1"/>
    </xf>
    <xf numFmtId="4" fontId="4" fillId="0" borderId="0" xfId="0" applyNumberFormat="1" applyFont="1" applyFill="1" applyBorder="1" applyAlignment="1">
      <alignment vertical="center"/>
    </xf>
    <xf numFmtId="0" fontId="2" fillId="0" borderId="12" xfId="0" applyFont="1" applyBorder="1" applyAlignment="1"/>
    <xf numFmtId="0" fontId="4" fillId="0" borderId="8" xfId="0" applyFont="1" applyBorder="1" applyAlignment="1">
      <alignment vertical="center"/>
    </xf>
    <xf numFmtId="0" fontId="4" fillId="0" borderId="22" xfId="0" applyFont="1" applyBorder="1" applyAlignment="1">
      <alignment vertical="center"/>
    </xf>
    <xf numFmtId="0" fontId="19" fillId="0" borderId="14" xfId="0" applyFont="1" applyFill="1" applyBorder="1" applyAlignment="1">
      <alignment horizontal="right" vertical="center"/>
    </xf>
    <xf numFmtId="0" fontId="4" fillId="0" borderId="0" xfId="0" applyFont="1" applyAlignment="1">
      <alignment wrapText="1"/>
    </xf>
    <xf numFmtId="4" fontId="2" fillId="0" borderId="3" xfId="0" applyNumberFormat="1" applyFont="1" applyFill="1" applyBorder="1" applyAlignment="1">
      <alignment horizontal="center" vertical="center"/>
    </xf>
    <xf numFmtId="0" fontId="4" fillId="0" borderId="5" xfId="0" applyFont="1" applyBorder="1" applyAlignment="1">
      <alignment horizontal="center" vertical="center" wrapText="1"/>
    </xf>
    <xf numFmtId="0" fontId="4" fillId="0" borderId="12" xfId="0" applyFont="1" applyBorder="1" applyAlignment="1">
      <alignment horizontal="center" vertical="center" wrapText="1"/>
    </xf>
    <xf numFmtId="0" fontId="35" fillId="0" borderId="0" xfId="0" applyFont="1" applyAlignment="1"/>
    <xf numFmtId="0" fontId="2" fillId="0" borderId="0" xfId="0" applyFont="1" applyAlignment="1">
      <alignment horizontal="right"/>
    </xf>
    <xf numFmtId="14" fontId="2" fillId="0" borderId="0" xfId="0" applyNumberFormat="1" applyFont="1" applyBorder="1" applyAlignment="1">
      <alignment horizontal="left"/>
    </xf>
    <xf numFmtId="172" fontId="4" fillId="0" borderId="0" xfId="0" applyNumberFormat="1" applyFont="1" applyFill="1" applyBorder="1" applyAlignment="1">
      <alignment horizontal="left" vertical="center" wrapText="1"/>
    </xf>
    <xf numFmtId="172" fontId="4" fillId="0" borderId="0" xfId="0" applyNumberFormat="1" applyFont="1" applyFill="1" applyBorder="1" applyAlignment="1">
      <alignment horizontal="center" vertical="center" wrapText="1"/>
    </xf>
    <xf numFmtId="4" fontId="4" fillId="0" borderId="0" xfId="0" applyNumberFormat="1" applyFont="1" applyFill="1" applyBorder="1" applyAlignment="1">
      <alignment horizontal="center" vertical="center" wrapText="1"/>
    </xf>
    <xf numFmtId="0" fontId="2" fillId="0" borderId="0" xfId="0" applyFont="1" applyAlignment="1">
      <alignment horizontal="right" vertical="center"/>
    </xf>
    <xf numFmtId="4" fontId="2" fillId="0" borderId="0" xfId="0" applyNumberFormat="1" applyFont="1" applyFill="1" applyBorder="1" applyAlignment="1">
      <alignment horizontal="left" vertical="center" wrapText="1"/>
    </xf>
    <xf numFmtId="172" fontId="4" fillId="0" borderId="3" xfId="0" applyNumberFormat="1" applyFont="1" applyFill="1" applyBorder="1" applyAlignment="1">
      <alignment horizontal="left" vertical="center" wrapText="1"/>
    </xf>
    <xf numFmtId="172" fontId="4" fillId="0" borderId="3" xfId="0" applyNumberFormat="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0" fontId="2" fillId="0" borderId="0" xfId="0" applyFont="1" applyAlignment="1">
      <alignment wrapText="1"/>
    </xf>
    <xf numFmtId="0" fontId="2" fillId="0" borderId="3" xfId="0" applyFont="1" applyBorder="1" applyAlignment="1">
      <alignment horizontal="left" vertical="center" wrapText="1"/>
    </xf>
    <xf numFmtId="4" fontId="2" fillId="0" borderId="0" xfId="0" applyNumberFormat="1" applyFont="1" applyFill="1" applyBorder="1" applyAlignment="1">
      <alignment horizontal="right" vertical="center"/>
    </xf>
    <xf numFmtId="4" fontId="2" fillId="0" borderId="3" xfId="0" applyNumberFormat="1" applyFont="1" applyFill="1" applyBorder="1" applyAlignment="1">
      <alignment horizontal="center" vertical="center" wrapText="1"/>
    </xf>
    <xf numFmtId="0" fontId="4" fillId="0" borderId="0" xfId="0" applyFont="1" applyAlignment="1">
      <alignment horizontal="center"/>
    </xf>
    <xf numFmtId="0" fontId="19" fillId="0" borderId="0" xfId="0" applyFont="1" applyAlignment="1">
      <alignment horizontal="center"/>
    </xf>
    <xf numFmtId="0" fontId="19" fillId="0" borderId="0" xfId="0" applyFont="1" applyAlignment="1">
      <alignment vertical="center"/>
    </xf>
    <xf numFmtId="0" fontId="19" fillId="0" borderId="0" xfId="0" applyFont="1" applyBorder="1" applyAlignment="1"/>
    <xf numFmtId="0" fontId="19" fillId="4" borderId="3" xfId="0" applyFont="1" applyFill="1" applyBorder="1" applyAlignment="1">
      <alignment horizontal="center"/>
    </xf>
    <xf numFmtId="0" fontId="19" fillId="0" borderId="0" xfId="0" applyFont="1" applyFill="1" applyBorder="1" applyAlignment="1">
      <alignment horizontal="center"/>
    </xf>
    <xf numFmtId="0" fontId="19" fillId="0" borderId="0" xfId="0" applyFont="1" applyFill="1" applyBorder="1" applyAlignment="1">
      <alignment horizontal="left" wrapText="1"/>
    </xf>
    <xf numFmtId="0" fontId="13" fillId="4" borderId="3"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4" fillId="0" borderId="25" xfId="0" applyNumberFormat="1" applyFont="1" applyBorder="1" applyAlignment="1">
      <alignment horizontal="center" vertical="center" wrapText="1"/>
    </xf>
    <xf numFmtId="0" fontId="4" fillId="3" borderId="3" xfId="0" applyFont="1" applyFill="1" applyBorder="1"/>
    <xf numFmtId="0" fontId="4" fillId="0" borderId="25" xfId="0" applyNumberFormat="1" applyFont="1" applyFill="1" applyBorder="1" applyAlignment="1">
      <alignment horizontal="center" vertical="center" wrapText="1"/>
    </xf>
    <xf numFmtId="0" fontId="4" fillId="3" borderId="3" xfId="0" applyFont="1" applyFill="1" applyBorder="1" applyAlignment="1">
      <alignment horizontal="center" vertical="center"/>
    </xf>
    <xf numFmtId="0" fontId="4" fillId="0" borderId="0" xfId="0" applyFont="1" applyBorder="1" applyAlignment="1">
      <alignment horizontal="left" wrapText="1"/>
    </xf>
    <xf numFmtId="0" fontId="19" fillId="0" borderId="0" xfId="0" applyFont="1" applyAlignment="1">
      <alignment horizontal="center" wrapText="1"/>
    </xf>
    <xf numFmtId="0" fontId="4" fillId="0" borderId="10" xfId="0" applyFont="1" applyBorder="1" applyAlignment="1">
      <alignment horizontal="center" vertical="center" wrapText="1"/>
    </xf>
    <xf numFmtId="1" fontId="4" fillId="0" borderId="3" xfId="0" applyNumberFormat="1" applyFont="1" applyBorder="1" applyAlignment="1">
      <alignment horizontal="center" vertical="center"/>
    </xf>
    <xf numFmtId="0" fontId="19" fillId="0" borderId="0" xfId="0" applyFont="1" applyFill="1" applyAlignment="1">
      <alignment vertical="center"/>
    </xf>
    <xf numFmtId="0" fontId="19" fillId="0" borderId="0" xfId="0" applyFont="1" applyFill="1" applyAlignment="1">
      <alignment horizontal="left" vertical="center"/>
    </xf>
    <xf numFmtId="0" fontId="5" fillId="0" borderId="0" xfId="3" applyAlignment="1"/>
    <xf numFmtId="0" fontId="19" fillId="0" borderId="0" xfId="0" applyFont="1" applyBorder="1" applyAlignment="1">
      <alignment horizontal="left" indent="1"/>
    </xf>
    <xf numFmtId="1" fontId="2" fillId="0" borderId="0" xfId="0" applyNumberFormat="1" applyFont="1" applyFill="1" applyBorder="1" applyAlignment="1">
      <alignment horizontal="right" vertical="center"/>
    </xf>
    <xf numFmtId="0" fontId="19" fillId="0" borderId="3" xfId="0" applyNumberFormat="1" applyFont="1" applyFill="1" applyBorder="1" applyAlignment="1">
      <alignment horizontal="center" vertical="center" wrapText="1"/>
    </xf>
    <xf numFmtId="1" fontId="2" fillId="0" borderId="3" xfId="0" applyNumberFormat="1" applyFont="1" applyBorder="1" applyAlignment="1">
      <alignment horizontal="center" vertical="center"/>
    </xf>
    <xf numFmtId="0" fontId="2" fillId="0" borderId="3" xfId="0" applyFont="1" applyFill="1" applyBorder="1" applyAlignment="1">
      <alignment horizontal="left" vertical="center" wrapText="1"/>
    </xf>
    <xf numFmtId="0" fontId="4" fillId="0" borderId="5" xfId="0" applyNumberFormat="1" applyFont="1" applyFill="1" applyBorder="1" applyAlignment="1">
      <alignment horizontal="center" vertical="center" wrapText="1"/>
    </xf>
    <xf numFmtId="0" fontId="4" fillId="0" borderId="0" xfId="0" applyFont="1" applyFill="1" applyAlignment="1">
      <alignment horizontal="right" vertical="center"/>
    </xf>
    <xf numFmtId="173" fontId="13" fillId="4" borderId="3" xfId="0" applyNumberFormat="1" applyFont="1" applyFill="1" applyBorder="1" applyAlignment="1">
      <alignment horizontal="center" vertical="center" wrapText="1"/>
    </xf>
    <xf numFmtId="0" fontId="13" fillId="0" borderId="4" xfId="0" applyFont="1" applyBorder="1" applyAlignment="1">
      <alignment horizontal="center" vertical="center" wrapText="1"/>
    </xf>
    <xf numFmtId="0" fontId="2" fillId="0" borderId="4" xfId="0" applyFont="1" applyBorder="1" applyAlignment="1">
      <alignment vertical="center" wrapText="1"/>
    </xf>
    <xf numFmtId="0" fontId="2" fillId="0" borderId="7" xfId="0" applyFont="1" applyBorder="1" applyAlignment="1">
      <alignment horizontal="left" vertical="center" wrapText="1" indent="1"/>
    </xf>
    <xf numFmtId="0" fontId="13" fillId="0" borderId="3" xfId="0" applyNumberFormat="1" applyFont="1" applyFill="1" applyBorder="1" applyAlignment="1">
      <alignment horizontal="center" vertical="center"/>
    </xf>
    <xf numFmtId="0" fontId="2" fillId="0" borderId="3" xfId="0" applyFont="1" applyBorder="1" applyAlignment="1">
      <alignment horizontal="center"/>
    </xf>
    <xf numFmtId="0" fontId="19"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3" xfId="0" applyNumberFormat="1" applyFont="1" applyFill="1" applyBorder="1" applyAlignment="1">
      <alignment horizontal="center" vertical="center" wrapText="1"/>
    </xf>
    <xf numFmtId="0" fontId="2" fillId="0" borderId="3" xfId="0" applyFont="1" applyFill="1" applyBorder="1"/>
    <xf numFmtId="0" fontId="19" fillId="0" borderId="3" xfId="0" applyNumberFormat="1" applyFont="1" applyBorder="1" applyAlignment="1">
      <alignment horizontal="center" vertical="center" wrapText="1"/>
    </xf>
    <xf numFmtId="0" fontId="2" fillId="0" borderId="0" xfId="0" applyFont="1" applyBorder="1" applyAlignment="1">
      <alignment horizontal="center"/>
    </xf>
    <xf numFmtId="0" fontId="2" fillId="0" borderId="26" xfId="0" applyFont="1" applyBorder="1" applyAlignment="1">
      <alignment vertical="center" wrapText="1"/>
    </xf>
    <xf numFmtId="0" fontId="13" fillId="0" borderId="27" xfId="0" applyFont="1" applyBorder="1" applyAlignment="1">
      <alignment horizontal="center" vertical="center" wrapText="1"/>
    </xf>
    <xf numFmtId="0" fontId="2" fillId="0" borderId="27" xfId="0" applyFont="1" applyBorder="1" applyAlignment="1">
      <alignment vertical="center" wrapText="1"/>
    </xf>
    <xf numFmtId="0" fontId="4" fillId="0" borderId="28" xfId="0" applyFont="1" applyBorder="1" applyAlignment="1">
      <alignment horizontal="center" vertical="center" wrapText="1"/>
    </xf>
    <xf numFmtId="0" fontId="13" fillId="0" borderId="28" xfId="0" applyNumberFormat="1" applyFont="1" applyFill="1" applyBorder="1" applyAlignment="1">
      <alignment horizontal="center" vertical="center" wrapText="1"/>
    </xf>
    <xf numFmtId="0" fontId="13" fillId="0" borderId="26" xfId="0" applyFont="1" applyBorder="1" applyAlignment="1">
      <alignment horizontal="center" vertical="center" wrapText="1"/>
    </xf>
    <xf numFmtId="0" fontId="4" fillId="0" borderId="25" xfId="0" applyFont="1" applyBorder="1" applyAlignment="1">
      <alignment horizontal="center" vertical="center" wrapText="1"/>
    </xf>
    <xf numFmtId="0" fontId="13" fillId="0" borderId="25" xfId="0" applyNumberFormat="1" applyFont="1" applyFill="1" applyBorder="1" applyAlignment="1">
      <alignment horizontal="center" vertical="center" wrapText="1"/>
    </xf>
    <xf numFmtId="0" fontId="13" fillId="0" borderId="29" xfId="0" applyFont="1" applyBorder="1" applyAlignment="1">
      <alignment horizontal="center" vertical="center" wrapText="1"/>
    </xf>
    <xf numFmtId="0" fontId="2" fillId="0" borderId="30" xfId="0" applyFont="1" applyBorder="1" applyAlignment="1">
      <alignment vertical="center" wrapText="1"/>
    </xf>
    <xf numFmtId="0" fontId="4" fillId="0" borderId="31" xfId="0" applyFont="1" applyBorder="1" applyAlignment="1">
      <alignment horizontal="center" vertical="center" wrapText="1"/>
    </xf>
    <xf numFmtId="0" fontId="13" fillId="0" borderId="31" xfId="0" applyNumberFormat="1" applyFont="1" applyFill="1" applyBorder="1" applyAlignment="1">
      <alignment horizontal="center" vertical="center" wrapText="1"/>
    </xf>
    <xf numFmtId="0" fontId="13" fillId="0" borderId="30" xfId="0" applyFont="1" applyBorder="1" applyAlignment="1">
      <alignment horizontal="center" vertical="center" wrapText="1"/>
    </xf>
    <xf numFmtId="0" fontId="4" fillId="0" borderId="32" xfId="0" applyFont="1" applyFill="1" applyBorder="1" applyAlignment="1">
      <alignment vertical="center" wrapText="1"/>
    </xf>
    <xf numFmtId="0" fontId="4" fillId="0" borderId="0" xfId="0" applyFont="1" applyBorder="1" applyAlignment="1">
      <alignment horizontal="left"/>
    </xf>
    <xf numFmtId="0" fontId="13" fillId="4" borderId="3" xfId="0" applyFont="1" applyFill="1" applyBorder="1" applyAlignment="1">
      <alignment horizontal="center" vertical="center"/>
    </xf>
    <xf numFmtId="0" fontId="4" fillId="0" borderId="3" xfId="0" applyFont="1" applyBorder="1" applyAlignment="1">
      <alignment vertical="center" wrapText="1"/>
    </xf>
    <xf numFmtId="0" fontId="4" fillId="0" borderId="25" xfId="0" applyFont="1" applyFill="1" applyBorder="1" applyAlignment="1">
      <alignment horizontal="center" vertical="center" wrapText="1"/>
    </xf>
    <xf numFmtId="174" fontId="4" fillId="0" borderId="0" xfId="0" applyNumberFormat="1" applyFont="1" applyBorder="1" applyAlignment="1">
      <alignment horizontal="center"/>
    </xf>
    <xf numFmtId="0" fontId="13" fillId="4" borderId="5" xfId="0" applyFont="1" applyFill="1" applyBorder="1" applyAlignment="1">
      <alignment horizontal="center" vertical="center" wrapText="1"/>
    </xf>
    <xf numFmtId="0" fontId="13" fillId="4" borderId="5" xfId="0" applyFont="1" applyFill="1" applyBorder="1" applyAlignment="1">
      <alignment horizontal="center" vertical="center"/>
    </xf>
    <xf numFmtId="0" fontId="13" fillId="6" borderId="3" xfId="0" applyFont="1" applyFill="1" applyBorder="1" applyAlignment="1">
      <alignment horizontal="left" vertical="center" wrapText="1"/>
    </xf>
    <xf numFmtId="0" fontId="2" fillId="6" borderId="3"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13" fillId="0" borderId="3" xfId="0" applyFont="1" applyBorder="1" applyAlignment="1">
      <alignment horizontal="left" vertical="center" wrapText="1"/>
    </xf>
    <xf numFmtId="0" fontId="2" fillId="0" borderId="5" xfId="0" applyFont="1" applyFill="1" applyBorder="1" applyAlignment="1">
      <alignment horizontal="center" vertical="center" wrapText="1"/>
    </xf>
    <xf numFmtId="0" fontId="2" fillId="0" borderId="5" xfId="0" applyFont="1" applyBorder="1" applyAlignment="1">
      <alignment horizontal="center" vertical="center" wrapText="1"/>
    </xf>
    <xf numFmtId="0" fontId="19" fillId="6" borderId="3" xfId="0" applyFont="1" applyFill="1" applyBorder="1" applyAlignment="1">
      <alignment horizontal="left" vertical="center" wrapText="1"/>
    </xf>
    <xf numFmtId="1" fontId="19" fillId="0" borderId="3" xfId="0" applyNumberFormat="1" applyFont="1" applyFill="1" applyBorder="1" applyAlignment="1">
      <alignment horizontal="center" vertical="center" wrapText="1"/>
    </xf>
    <xf numFmtId="0" fontId="13" fillId="0" borderId="3" xfId="0" applyFont="1" applyBorder="1" applyAlignment="1">
      <alignment vertical="center" wrapText="1"/>
    </xf>
    <xf numFmtId="2" fontId="19" fillId="0" borderId="3" xfId="0" applyNumberFormat="1" applyFont="1" applyBorder="1" applyAlignment="1">
      <alignment horizontal="center" vertical="center" wrapText="1"/>
    </xf>
    <xf numFmtId="0" fontId="13" fillId="2" borderId="12" xfId="0" applyFont="1" applyFill="1" applyBorder="1" applyAlignment="1">
      <alignment horizontal="center" vertical="center"/>
    </xf>
    <xf numFmtId="175" fontId="4" fillId="0" borderId="3" xfId="0" applyNumberFormat="1" applyFont="1" applyBorder="1" applyAlignment="1">
      <alignment horizontal="center" vertical="center"/>
    </xf>
    <xf numFmtId="174" fontId="4" fillId="0" borderId="0" xfId="0" applyNumberFormat="1" applyFont="1" applyAlignment="1">
      <alignment horizontal="center"/>
    </xf>
    <xf numFmtId="0" fontId="6" fillId="0" borderId="0" xfId="3" applyNumberFormat="1" applyFont="1" applyFill="1" applyBorder="1" applyAlignment="1" applyProtection="1">
      <alignment horizontal="left"/>
    </xf>
    <xf numFmtId="4" fontId="4" fillId="0" borderId="0" xfId="0" applyNumberFormat="1" applyFont="1" applyBorder="1" applyAlignment="1">
      <alignment horizontal="center"/>
    </xf>
    <xf numFmtId="14" fontId="4" fillId="0" borderId="0" xfId="0" applyNumberFormat="1" applyFont="1" applyAlignment="1">
      <alignment horizontal="right"/>
    </xf>
    <xf numFmtId="14" fontId="19" fillId="0" borderId="0" xfId="0" applyNumberFormat="1" applyFont="1" applyAlignment="1">
      <alignment horizontal="center"/>
    </xf>
    <xf numFmtId="4" fontId="13" fillId="4" borderId="3" xfId="0" applyNumberFormat="1" applyFont="1" applyFill="1" applyBorder="1" applyAlignment="1">
      <alignment horizontal="center" vertical="center" wrapText="1"/>
    </xf>
    <xf numFmtId="0" fontId="19" fillId="0" borderId="3" xfId="0" applyFont="1" applyBorder="1" applyAlignment="1">
      <alignment horizontal="center" vertical="center"/>
    </xf>
    <xf numFmtId="0" fontId="19" fillId="0" borderId="5" xfId="0" applyFont="1" applyFill="1" applyBorder="1" applyAlignment="1">
      <alignment horizontal="left" vertical="center" wrapText="1"/>
    </xf>
    <xf numFmtId="0" fontId="2" fillId="0" borderId="0" xfId="0" applyFont="1" applyBorder="1" applyAlignment="1"/>
    <xf numFmtId="10" fontId="4" fillId="0" borderId="3" xfId="0" applyNumberFormat="1" applyFont="1" applyBorder="1" applyAlignment="1">
      <alignment horizontal="center" vertical="center"/>
    </xf>
    <xf numFmtId="0" fontId="4" fillId="0" borderId="3" xfId="0" applyFont="1" applyBorder="1" applyAlignment="1">
      <alignment vertical="center"/>
    </xf>
    <xf numFmtId="1" fontId="4" fillId="0" borderId="0" xfId="0" applyNumberFormat="1" applyFont="1" applyFill="1" applyBorder="1" applyAlignment="1" applyProtection="1">
      <alignment horizontal="right" vertical="center" wrapText="1"/>
    </xf>
    <xf numFmtId="1" fontId="41" fillId="0" borderId="0" xfId="0" applyNumberFormat="1" applyFont="1" applyFill="1" applyBorder="1" applyAlignment="1" applyProtection="1">
      <alignment horizontal="right" vertical="center" wrapText="1"/>
    </xf>
    <xf numFmtId="1" fontId="41" fillId="0" borderId="0" xfId="0" applyNumberFormat="1" applyFont="1" applyFill="1" applyBorder="1" applyAlignment="1" applyProtection="1">
      <alignment vertical="center" wrapText="1"/>
    </xf>
    <xf numFmtId="1" fontId="19" fillId="0" borderId="0" xfId="0" applyNumberFormat="1" applyFont="1" applyFill="1" applyBorder="1" applyAlignment="1">
      <alignment vertical="center"/>
    </xf>
    <xf numFmtId="0" fontId="19" fillId="0" borderId="0" xfId="0" applyFont="1" applyBorder="1" applyAlignment="1">
      <alignment vertical="top" wrapText="1"/>
    </xf>
    <xf numFmtId="1" fontId="4" fillId="0" borderId="0" xfId="0" applyNumberFormat="1" applyFont="1" applyFill="1" applyBorder="1" applyAlignment="1">
      <alignment wrapText="1"/>
    </xf>
    <xf numFmtId="1" fontId="4" fillId="0" borderId="0" xfId="0" applyNumberFormat="1" applyFont="1" applyFill="1" applyBorder="1" applyAlignment="1"/>
    <xf numFmtId="0" fontId="4" fillId="0" borderId="25" xfId="0" applyNumberFormat="1" applyFont="1" applyFill="1" applyBorder="1" applyAlignment="1">
      <alignment vertical="center"/>
    </xf>
    <xf numFmtId="0" fontId="4" fillId="0" borderId="25" xfId="0" applyNumberFormat="1" applyFont="1" applyFill="1" applyBorder="1" applyAlignment="1">
      <alignment horizontal="center" vertical="center"/>
    </xf>
    <xf numFmtId="0" fontId="4" fillId="0" borderId="25" xfId="0" applyNumberFormat="1" applyFont="1" applyFill="1" applyBorder="1" applyAlignment="1">
      <alignment vertical="center" wrapText="1"/>
    </xf>
    <xf numFmtId="0" fontId="4" fillId="0" borderId="25"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4" fillId="3" borderId="3" xfId="0" applyNumberFormat="1" applyFont="1" applyFill="1" applyBorder="1" applyAlignment="1">
      <alignment vertical="center" wrapText="1"/>
    </xf>
    <xf numFmtId="0" fontId="4" fillId="0" borderId="3" xfId="0" applyNumberFormat="1" applyFont="1" applyFill="1" applyBorder="1" applyAlignment="1">
      <alignment vertical="top" wrapText="1"/>
    </xf>
    <xf numFmtId="0" fontId="4" fillId="0" borderId="26" xfId="0" applyNumberFormat="1" applyFont="1" applyFill="1" applyBorder="1" applyAlignment="1">
      <alignment vertical="center" wrapText="1"/>
    </xf>
    <xf numFmtId="4" fontId="4" fillId="0" borderId="0" xfId="0" applyNumberFormat="1" applyFont="1"/>
    <xf numFmtId="1" fontId="19" fillId="0" borderId="0" xfId="0" applyNumberFormat="1" applyFont="1" applyFill="1" applyBorder="1" applyAlignment="1">
      <alignment horizontal="center" vertical="center"/>
    </xf>
    <xf numFmtId="0" fontId="20" fillId="0" borderId="0" xfId="0" applyFont="1" applyBorder="1" applyAlignment="1" applyProtection="1">
      <alignment horizontal="center"/>
      <protection hidden="1"/>
    </xf>
    <xf numFmtId="1" fontId="4" fillId="0" borderId="0" xfId="0" applyNumberFormat="1" applyFont="1" applyFill="1" applyBorder="1" applyAlignment="1">
      <alignment vertical="center"/>
    </xf>
    <xf numFmtId="0" fontId="19" fillId="2" borderId="3" xfId="0" applyNumberFormat="1" applyFont="1" applyFill="1" applyBorder="1" applyAlignment="1">
      <alignment vertical="center"/>
    </xf>
    <xf numFmtId="0" fontId="4" fillId="0" borderId="3" xfId="0" applyNumberFormat="1" applyFont="1" applyFill="1" applyBorder="1" applyAlignment="1">
      <alignment vertical="center"/>
    </xf>
    <xf numFmtId="0" fontId="4" fillId="0" borderId="3" xfId="0" applyNumberFormat="1" applyFont="1" applyFill="1" applyBorder="1" applyAlignment="1">
      <alignment horizontal="left" vertical="center"/>
    </xf>
    <xf numFmtId="0"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xf>
    <xf numFmtId="0" fontId="4" fillId="0" borderId="0" xfId="0" applyNumberFormat="1" applyFont="1" applyBorder="1" applyAlignment="1">
      <alignment vertical="center"/>
    </xf>
    <xf numFmtId="0" fontId="4" fillId="0" borderId="0" xfId="0" applyNumberFormat="1" applyFont="1" applyFill="1" applyBorder="1" applyAlignment="1">
      <alignment horizontal="right" vertical="center"/>
    </xf>
    <xf numFmtId="0" fontId="4" fillId="0" borderId="12" xfId="0" applyNumberFormat="1" applyFont="1" applyFill="1" applyBorder="1" applyAlignment="1">
      <alignment vertical="center"/>
    </xf>
    <xf numFmtId="0" fontId="4" fillId="0" borderId="4" xfId="0" applyNumberFormat="1" applyFont="1" applyFill="1" applyBorder="1" applyAlignment="1">
      <alignment horizontal="left" vertical="center"/>
    </xf>
    <xf numFmtId="0" fontId="4" fillId="0" borderId="4" xfId="0" applyNumberFormat="1" applyFont="1" applyFill="1" applyBorder="1" applyAlignment="1">
      <alignment vertical="center" wrapText="1"/>
    </xf>
    <xf numFmtId="1" fontId="41" fillId="0" borderId="14" xfId="0" applyNumberFormat="1" applyFont="1" applyFill="1" applyBorder="1" applyAlignment="1" applyProtection="1">
      <alignment horizontal="center" vertical="center" wrapText="1"/>
    </xf>
    <xf numFmtId="1" fontId="4" fillId="0" borderId="14" xfId="0" applyNumberFormat="1" applyFont="1" applyFill="1" applyBorder="1" applyAlignment="1">
      <alignment vertical="center"/>
    </xf>
    <xf numFmtId="0" fontId="4" fillId="0" borderId="5" xfId="0" applyNumberFormat="1" applyFont="1" applyFill="1" applyBorder="1" applyAlignment="1">
      <alignment horizontal="left" vertical="center"/>
    </xf>
    <xf numFmtId="0" fontId="2" fillId="0" borderId="5" xfId="0" applyFont="1" applyBorder="1" applyAlignment="1"/>
    <xf numFmtId="0" fontId="2" fillId="0" borderId="3" xfId="0" applyFont="1" applyBorder="1" applyAlignment="1"/>
    <xf numFmtId="0" fontId="4" fillId="0" borderId="0" xfId="0" applyFont="1" applyFill="1" applyAlignment="1"/>
    <xf numFmtId="0" fontId="19" fillId="0" borderId="0" xfId="0" applyFont="1" applyBorder="1" applyAlignment="1">
      <alignment horizontal="center" vertical="center"/>
    </xf>
    <xf numFmtId="0" fontId="13" fillId="0" borderId="4" xfId="0" applyFont="1" applyFill="1" applyBorder="1" applyAlignment="1">
      <alignment horizontal="center" vertical="top" wrapText="1"/>
    </xf>
    <xf numFmtId="0" fontId="19" fillId="0" borderId="3" xfId="0" applyNumberFormat="1" applyFont="1" applyBorder="1" applyAlignment="1">
      <alignment horizontal="center" vertical="center"/>
    </xf>
    <xf numFmtId="0" fontId="19" fillId="0" borderId="7" xfId="0" applyNumberFormat="1" applyFont="1" applyBorder="1" applyAlignment="1">
      <alignment horizontal="center" vertical="center"/>
    </xf>
    <xf numFmtId="1" fontId="4" fillId="0" borderId="0" xfId="0" applyNumberFormat="1" applyFont="1" applyFill="1" applyBorder="1" applyAlignment="1">
      <alignment vertical="center" wrapText="1"/>
    </xf>
    <xf numFmtId="0" fontId="19" fillId="0" borderId="0" xfId="0" applyFont="1" applyBorder="1" applyAlignment="1">
      <alignment vertical="center"/>
    </xf>
    <xf numFmtId="0" fontId="19" fillId="0" borderId="0" xfId="0" applyFont="1" applyBorder="1" applyAlignment="1">
      <alignment horizontal="left" vertical="center" wrapText="1"/>
    </xf>
    <xf numFmtId="14" fontId="19" fillId="0" borderId="0" xfId="0" applyNumberFormat="1" applyFont="1" applyAlignment="1">
      <alignment horizontal="center" vertical="center"/>
    </xf>
    <xf numFmtId="1" fontId="4" fillId="2" borderId="3" xfId="0" applyNumberFormat="1" applyFont="1" applyFill="1" applyBorder="1" applyAlignment="1">
      <alignment horizontal="center" vertical="center" wrapText="1"/>
    </xf>
    <xf numFmtId="0" fontId="4" fillId="0" borderId="16" xfId="0" applyFont="1" applyFill="1" applyBorder="1" applyAlignment="1">
      <alignment vertical="center" wrapText="1"/>
    </xf>
    <xf numFmtId="0" fontId="4" fillId="0" borderId="17" xfId="0" applyFont="1" applyFill="1" applyBorder="1" applyAlignment="1">
      <alignment vertical="center" wrapText="1"/>
    </xf>
    <xf numFmtId="0" fontId="4" fillId="0" borderId="18" xfId="0" applyFont="1" applyFill="1" applyBorder="1" applyAlignment="1">
      <alignment vertical="center"/>
    </xf>
    <xf numFmtId="0" fontId="4" fillId="0" borderId="19" xfId="0" applyFont="1" applyFill="1" applyBorder="1" applyAlignment="1">
      <alignment vertical="center" wrapText="1"/>
    </xf>
    <xf numFmtId="0" fontId="4" fillId="0" borderId="20" xfId="0" applyFont="1" applyFill="1" applyBorder="1" applyAlignment="1">
      <alignment horizontal="right" vertical="center" wrapText="1"/>
    </xf>
    <xf numFmtId="0" fontId="4" fillId="0" borderId="21" xfId="0" applyFont="1" applyFill="1" applyBorder="1" applyAlignment="1">
      <alignment horizontal="right" vertical="center" wrapText="1"/>
    </xf>
    <xf numFmtId="0" fontId="4" fillId="0" borderId="23" xfId="0" applyFont="1" applyFill="1" applyBorder="1" applyAlignment="1">
      <alignment horizontal="right" vertical="center" wrapText="1"/>
    </xf>
    <xf numFmtId="0" fontId="4" fillId="0" borderId="22" xfId="0" applyFont="1" applyFill="1" applyBorder="1" applyAlignment="1">
      <alignment horizontal="right" vertical="center" wrapText="1"/>
    </xf>
    <xf numFmtId="0" fontId="4" fillId="0" borderId="24" xfId="0" applyFont="1" applyFill="1" applyBorder="1" applyAlignment="1">
      <alignment horizontal="right" vertical="center" wrapText="1"/>
    </xf>
    <xf numFmtId="0" fontId="19" fillId="2" borderId="3" xfId="0" applyFont="1" applyFill="1" applyBorder="1" applyAlignment="1">
      <alignment horizontal="center"/>
    </xf>
    <xf numFmtId="0" fontId="19" fillId="2" borderId="4" xfId="0" applyFont="1" applyFill="1" applyBorder="1" applyAlignment="1"/>
    <xf numFmtId="0" fontId="19" fillId="2" borderId="7" xfId="0" applyFont="1" applyFill="1" applyBorder="1" applyAlignment="1"/>
    <xf numFmtId="0" fontId="19" fillId="2" borderId="4" xfId="0" applyFont="1" applyFill="1" applyBorder="1" applyAlignment="1">
      <alignment vertical="center" wrapText="1"/>
    </xf>
    <xf numFmtId="0" fontId="19" fillId="2" borderId="6" xfId="0" applyFont="1" applyFill="1" applyBorder="1" applyAlignment="1">
      <alignment vertical="center" wrapText="1"/>
    </xf>
    <xf numFmtId="0" fontId="19" fillId="2" borderId="7" xfId="0" applyFont="1" applyFill="1" applyBorder="1" applyAlignment="1">
      <alignment vertical="center" wrapText="1"/>
    </xf>
    <xf numFmtId="0" fontId="2" fillId="2" borderId="12" xfId="0" applyNumberFormat="1" applyFont="1" applyFill="1" applyBorder="1" applyAlignment="1">
      <alignment horizontal="center" vertical="center" wrapText="1"/>
    </xf>
    <xf numFmtId="0" fontId="2" fillId="2" borderId="12"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19" fillId="0" borderId="5" xfId="0" applyNumberFormat="1" applyFont="1" applyFill="1" applyBorder="1" applyAlignment="1">
      <alignment vertical="center"/>
    </xf>
    <xf numFmtId="0" fontId="19" fillId="3" borderId="7" xfId="0" applyFont="1" applyFill="1" applyBorder="1" applyAlignment="1">
      <alignment horizontal="center" vertical="center" wrapText="1"/>
    </xf>
    <xf numFmtId="0" fontId="19" fillId="0" borderId="4" xfId="0" applyFont="1" applyFill="1" applyBorder="1" applyAlignment="1" applyProtection="1">
      <alignment horizontal="center" vertical="center" wrapText="1"/>
      <protection locked="0"/>
    </xf>
    <xf numFmtId="2" fontId="4" fillId="0" borderId="12" xfId="0" applyNumberFormat="1" applyFont="1" applyBorder="1" applyAlignment="1">
      <alignment horizontal="center" vertical="center"/>
    </xf>
    <xf numFmtId="0" fontId="4" fillId="0" borderId="6" xfId="0" applyFont="1" applyBorder="1" applyAlignment="1">
      <alignment horizontal="center"/>
    </xf>
    <xf numFmtId="0" fontId="4" fillId="0" borderId="0" xfId="0" applyNumberFormat="1" applyFont="1"/>
    <xf numFmtId="1" fontId="24" fillId="4" borderId="3" xfId="0" applyNumberFormat="1" applyFont="1" applyFill="1" applyBorder="1" applyAlignment="1">
      <alignment horizontal="center" vertical="center" wrapText="1"/>
    </xf>
    <xf numFmtId="0" fontId="4" fillId="0" borderId="0" xfId="0" applyNumberFormat="1" applyFont="1" applyFill="1" applyBorder="1" applyAlignment="1">
      <alignment horizontal="left" vertical="center" wrapText="1"/>
    </xf>
    <xf numFmtId="0" fontId="4" fillId="0" borderId="6" xfId="0" applyFont="1" applyBorder="1" applyAlignment="1">
      <alignment horizontal="center" vertical="center"/>
    </xf>
    <xf numFmtId="0" fontId="19" fillId="0" borderId="0" xfId="0" applyFont="1" applyAlignment="1">
      <alignment wrapText="1"/>
    </xf>
    <xf numFmtId="14" fontId="19" fillId="0" borderId="33" xfId="0" applyNumberFormat="1" applyFont="1" applyBorder="1" applyAlignment="1"/>
    <xf numFmtId="2" fontId="4" fillId="0" borderId="5" xfId="0" applyNumberFormat="1" applyFont="1" applyFill="1" applyBorder="1" applyAlignment="1" applyProtection="1">
      <alignment horizontal="center" vertical="center" wrapText="1"/>
      <protection locked="0"/>
    </xf>
    <xf numFmtId="2" fontId="4" fillId="2" borderId="5" xfId="0" applyNumberFormat="1" applyFont="1" applyFill="1" applyBorder="1" applyAlignment="1" applyProtection="1">
      <alignment horizontal="center" vertical="center" wrapText="1"/>
      <protection locked="0"/>
    </xf>
    <xf numFmtId="2" fontId="4" fillId="0" borderId="12" xfId="0" applyNumberFormat="1" applyFont="1" applyFill="1" applyBorder="1" applyAlignment="1" applyProtection="1">
      <alignment horizontal="center" vertical="center" wrapText="1"/>
      <protection locked="0"/>
    </xf>
    <xf numFmtId="2" fontId="4" fillId="2" borderId="12" xfId="0" applyNumberFormat="1" applyFont="1" applyFill="1" applyBorder="1" applyAlignment="1" applyProtection="1">
      <alignment horizontal="center" vertical="center" wrapText="1"/>
      <protection locked="0"/>
    </xf>
    <xf numFmtId="0" fontId="4" fillId="0" borderId="0" xfId="0" applyFont="1" applyFill="1" applyBorder="1" applyAlignment="1">
      <alignment horizontal="right"/>
    </xf>
    <xf numFmtId="0" fontId="19" fillId="0" borderId="0" xfId="0" applyFont="1" applyFill="1" applyBorder="1" applyAlignment="1">
      <alignment wrapText="1"/>
    </xf>
    <xf numFmtId="14" fontId="19" fillId="0" borderId="0" xfId="0" applyNumberFormat="1" applyFont="1" applyFill="1" applyBorder="1" applyAlignment="1"/>
    <xf numFmtId="2" fontId="2" fillId="2" borderId="3" xfId="0" applyNumberFormat="1"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0" fontId="4" fillId="0" borderId="0" xfId="0" applyFont="1" applyBorder="1" applyAlignment="1">
      <alignment wrapText="1"/>
    </xf>
    <xf numFmtId="0" fontId="19" fillId="4" borderId="3" xfId="0" applyFont="1" applyFill="1" applyBorder="1" applyAlignment="1" applyProtection="1">
      <alignment horizontal="center" vertical="center" wrapText="1"/>
      <protection locked="0"/>
    </xf>
    <xf numFmtId="0" fontId="4" fillId="0" borderId="14" xfId="0" applyFont="1" applyBorder="1" applyAlignment="1">
      <alignment horizontal="right"/>
    </xf>
    <xf numFmtId="3" fontId="4" fillId="0" borderId="3" xfId="0" applyNumberFormat="1" applyFont="1" applyFill="1" applyBorder="1" applyAlignment="1">
      <alignment horizontal="center" vertical="center" wrapText="1"/>
    </xf>
    <xf numFmtId="0" fontId="19" fillId="0" borderId="0" xfId="0" applyFont="1" applyFill="1" applyBorder="1" applyAlignment="1">
      <alignment vertical="top"/>
    </xf>
    <xf numFmtId="0" fontId="4" fillId="0" borderId="0" xfId="0" applyFont="1" applyFill="1" applyBorder="1" applyAlignment="1">
      <alignment horizontal="left" vertical="center" indent="1"/>
    </xf>
    <xf numFmtId="0" fontId="4" fillId="0" borderId="34" xfId="0" applyFont="1" applyFill="1" applyBorder="1" applyAlignment="1" applyProtection="1">
      <alignment vertical="center"/>
    </xf>
    <xf numFmtId="0" fontId="4" fillId="0" borderId="34" xfId="0" applyFont="1" applyFill="1" applyBorder="1" applyAlignment="1" applyProtection="1">
      <alignment horizontal="right" vertical="center"/>
    </xf>
    <xf numFmtId="0" fontId="4" fillId="0" borderId="6" xfId="0" applyFont="1" applyFill="1" applyBorder="1" applyAlignment="1">
      <alignment horizontal="left" vertical="center" indent="1"/>
    </xf>
    <xf numFmtId="0" fontId="4" fillId="0" borderId="6" xfId="0" applyFont="1" applyFill="1" applyBorder="1" applyAlignment="1">
      <alignment horizontal="center" vertical="center"/>
    </xf>
    <xf numFmtId="1" fontId="4" fillId="0" borderId="6" xfId="0" applyNumberFormat="1" applyFont="1" applyFill="1" applyBorder="1" applyAlignment="1">
      <alignment horizontal="center" vertical="center"/>
    </xf>
    <xf numFmtId="0" fontId="4" fillId="0" borderId="6" xfId="0" applyFont="1" applyFill="1" applyBorder="1" applyAlignment="1" applyProtection="1">
      <alignment horizontal="left" vertical="center"/>
    </xf>
    <xf numFmtId="0" fontId="4" fillId="0" borderId="6" xfId="0" applyFont="1" applyFill="1" applyBorder="1" applyAlignment="1" applyProtection="1">
      <alignment horizontal="center" vertical="center"/>
    </xf>
    <xf numFmtId="14" fontId="4" fillId="0" borderId="6"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14" fontId="19" fillId="0" borderId="0" xfId="0" applyNumberFormat="1" applyFont="1" applyFill="1" applyBorder="1" applyAlignment="1" applyProtection="1">
      <alignment horizontal="center" vertical="center"/>
    </xf>
    <xf numFmtId="0" fontId="19" fillId="0" borderId="5" xfId="0" applyFont="1" applyBorder="1" applyAlignment="1">
      <alignment vertical="center"/>
    </xf>
    <xf numFmtId="0" fontId="19" fillId="0" borderId="0" xfId="0" applyFont="1" applyBorder="1" applyAlignment="1">
      <alignment vertical="center" wrapText="1"/>
    </xf>
    <xf numFmtId="0" fontId="4" fillId="5" borderId="3" xfId="0" applyFont="1" applyFill="1" applyBorder="1" applyAlignment="1">
      <alignment horizontal="left" vertical="center"/>
    </xf>
    <xf numFmtId="0" fontId="2" fillId="0" borderId="0" xfId="0" applyFont="1" applyBorder="1"/>
    <xf numFmtId="0" fontId="2" fillId="0" borderId="0" xfId="0" applyFont="1" applyBorder="1" applyAlignment="1">
      <alignment horizontal="right"/>
    </xf>
    <xf numFmtId="0" fontId="13" fillId="0" borderId="0" xfId="0" applyFont="1" applyBorder="1" applyAlignment="1">
      <alignment horizontal="center" vertical="center" wrapText="1"/>
    </xf>
    <xf numFmtId="0" fontId="2" fillId="0" borderId="0" xfId="0" applyFont="1" applyBorder="1" applyAlignment="1">
      <alignment horizontal="center" vertical="center" wrapText="1"/>
    </xf>
    <xf numFmtId="0" fontId="4" fillId="0" borderId="0" xfId="0" applyFont="1" applyBorder="1" applyAlignment="1" applyProtection="1">
      <alignment horizontal="right"/>
      <protection hidden="1"/>
    </xf>
    <xf numFmtId="0" fontId="2" fillId="0" borderId="3" xfId="0" applyFont="1" applyFill="1" applyBorder="1" applyAlignment="1">
      <alignment horizontal="center" vertical="center"/>
    </xf>
    <xf numFmtId="0" fontId="2" fillId="0" borderId="3" xfId="0" applyNumberFormat="1" applyFont="1" applyFill="1" applyBorder="1" applyAlignment="1">
      <alignment horizontal="center" vertical="center" wrapText="1"/>
    </xf>
    <xf numFmtId="2" fontId="19" fillId="0" borderId="3" xfId="0" applyNumberFormat="1" applyFont="1" applyFill="1" applyBorder="1" applyAlignment="1">
      <alignment horizontal="center" vertical="center"/>
    </xf>
    <xf numFmtId="0" fontId="4" fillId="0" borderId="5" xfId="0" applyFont="1" applyBorder="1" applyAlignment="1">
      <alignment vertical="center" wrapText="1"/>
    </xf>
    <xf numFmtId="0" fontId="21" fillId="0" borderId="0" xfId="0" applyFont="1" applyAlignment="1"/>
    <xf numFmtId="0" fontId="19" fillId="7" borderId="3" xfId="0" applyNumberFormat="1" applyFont="1" applyFill="1" applyBorder="1" applyAlignment="1">
      <alignment horizontal="center" vertical="center" wrapText="1"/>
    </xf>
    <xf numFmtId="0" fontId="2" fillId="0" borderId="3" xfId="0" applyNumberFormat="1" applyFont="1" applyFill="1" applyBorder="1" applyAlignment="1">
      <alignment horizontal="left" vertical="center" wrapText="1"/>
    </xf>
    <xf numFmtId="0" fontId="19" fillId="8" borderId="12" xfId="0" applyNumberFormat="1" applyFont="1" applyFill="1" applyBorder="1" applyAlignment="1">
      <alignment horizontal="center" vertical="center" wrapText="1"/>
    </xf>
    <xf numFmtId="0" fontId="19" fillId="8" borderId="11" xfId="0" applyNumberFormat="1" applyFont="1" applyFill="1" applyBorder="1" applyAlignment="1">
      <alignment horizontal="center" vertical="center" wrapText="1"/>
    </xf>
    <xf numFmtId="1" fontId="2" fillId="0" borderId="3" xfId="0" applyNumberFormat="1" applyFont="1" applyFill="1" applyBorder="1" applyAlignment="1">
      <alignment horizontal="center" vertical="center"/>
    </xf>
    <xf numFmtId="172" fontId="2" fillId="0" borderId="3" xfId="0" applyNumberFormat="1" applyFont="1" applyFill="1" applyBorder="1" applyAlignment="1">
      <alignment horizontal="center" vertical="center"/>
    </xf>
    <xf numFmtId="172" fontId="19" fillId="0" borderId="3" xfId="0" applyNumberFormat="1" applyFont="1" applyFill="1" applyBorder="1" applyAlignment="1">
      <alignment horizontal="center" vertical="center"/>
    </xf>
    <xf numFmtId="0" fontId="4" fillId="0" borderId="3" xfId="0" applyFont="1" applyBorder="1" applyAlignment="1">
      <alignment horizontal="center" wrapText="1"/>
    </xf>
    <xf numFmtId="0" fontId="19" fillId="2" borderId="4" xfId="0" applyFont="1" applyFill="1" applyBorder="1" applyAlignment="1" applyProtection="1">
      <alignment horizontal="center" vertical="center" wrapText="1"/>
      <protection locked="0"/>
    </xf>
    <xf numFmtId="0" fontId="19" fillId="3" borderId="3" xfId="0" applyFont="1" applyFill="1" applyBorder="1" applyAlignment="1">
      <alignment horizontal="center" vertical="center" wrapText="1"/>
    </xf>
    <xf numFmtId="0" fontId="4" fillId="3" borderId="5" xfId="0" applyFont="1" applyFill="1" applyBorder="1" applyAlignment="1">
      <alignment horizontal="center" vertical="center"/>
    </xf>
    <xf numFmtId="0" fontId="4" fillId="3" borderId="10" xfId="0" applyFont="1" applyFill="1" applyBorder="1" applyAlignment="1">
      <alignment horizontal="center" vertical="center" wrapText="1"/>
    </xf>
    <xf numFmtId="0" fontId="19" fillId="0" borderId="12" xfId="0" applyFont="1" applyFill="1" applyBorder="1" applyAlignment="1">
      <alignment vertical="center"/>
    </xf>
    <xf numFmtId="0" fontId="19" fillId="0" borderId="12" xfId="0" applyFont="1" applyFill="1" applyBorder="1" applyAlignment="1" applyProtection="1">
      <alignment horizontal="center" vertical="center" wrapText="1"/>
      <protection locked="0"/>
    </xf>
    <xf numFmtId="0" fontId="19" fillId="2" borderId="13"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wrapText="1"/>
      <protection locked="0"/>
    </xf>
    <xf numFmtId="0" fontId="19" fillId="3" borderId="32" xfId="0" applyFont="1" applyFill="1" applyBorder="1" applyAlignment="1">
      <alignment horizontal="center" vertical="center" wrapText="1"/>
    </xf>
    <xf numFmtId="0" fontId="19" fillId="3" borderId="3" xfId="0" applyNumberFormat="1" applyFont="1" applyFill="1" applyBorder="1" applyAlignment="1">
      <alignment horizontal="center" vertical="center" wrapText="1"/>
    </xf>
    <xf numFmtId="0" fontId="19" fillId="3" borderId="12" xfId="0" applyNumberFormat="1" applyFont="1" applyFill="1" applyBorder="1" applyAlignment="1">
      <alignment horizontal="center" vertical="center" wrapText="1"/>
    </xf>
    <xf numFmtId="1" fontId="4" fillId="9" borderId="3" xfId="0" applyNumberFormat="1" applyFont="1" applyFill="1" applyBorder="1" applyAlignment="1">
      <alignment horizontal="center" vertical="center"/>
    </xf>
    <xf numFmtId="1" fontId="4" fillId="0" borderId="14" xfId="0" applyNumberFormat="1" applyFont="1" applyFill="1" applyBorder="1" applyAlignment="1" applyProtection="1">
      <alignment vertical="center" wrapText="1"/>
    </xf>
    <xf numFmtId="1" fontId="4" fillId="0" borderId="0" xfId="0" applyNumberFormat="1" applyFont="1" applyBorder="1" applyAlignment="1">
      <alignment horizontal="center"/>
    </xf>
    <xf numFmtId="1" fontId="4" fillId="0" borderId="14" xfId="0" applyNumberFormat="1" applyFont="1" applyFill="1" applyBorder="1" applyAlignment="1">
      <alignment vertical="center" wrapText="1"/>
    </xf>
    <xf numFmtId="1" fontId="4" fillId="0" borderId="14" xfId="0" applyNumberFormat="1" applyFont="1" applyFill="1" applyBorder="1" applyAlignment="1">
      <alignment horizontal="right" vertical="center"/>
    </xf>
    <xf numFmtId="0" fontId="4" fillId="0" borderId="3" xfId="0" applyFont="1" applyFill="1" applyBorder="1" applyAlignment="1" applyProtection="1">
      <alignment horizontal="center" vertical="center" wrapText="1"/>
      <protection hidden="1"/>
    </xf>
    <xf numFmtId="0" fontId="4" fillId="0" borderId="3" xfId="0" applyFont="1" applyBorder="1" applyAlignment="1" applyProtection="1">
      <alignment horizontal="center" vertical="center" wrapText="1"/>
      <protection hidden="1"/>
    </xf>
    <xf numFmtId="172" fontId="4" fillId="0" borderId="3" xfId="0" applyNumberFormat="1"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2" fontId="4" fillId="0" borderId="3" xfId="0" applyNumberFormat="1" applyFont="1" applyBorder="1" applyAlignment="1" applyProtection="1">
      <alignment horizontal="center" vertical="center"/>
      <protection hidden="1"/>
    </xf>
    <xf numFmtId="172" fontId="4" fillId="0" borderId="3" xfId="0" applyNumberFormat="1" applyFont="1" applyFill="1" applyBorder="1" applyAlignment="1" applyProtection="1">
      <alignment horizontal="center" vertical="center"/>
      <protection hidden="1"/>
    </xf>
    <xf numFmtId="0" fontId="4" fillId="0" borderId="3" xfId="0" applyFont="1" applyFill="1" applyBorder="1" applyAlignment="1" applyProtection="1">
      <alignment horizontal="center" vertical="center"/>
      <protection hidden="1"/>
    </xf>
    <xf numFmtId="2" fontId="4" fillId="0" borderId="3" xfId="0" applyNumberFormat="1" applyFont="1" applyFill="1" applyBorder="1" applyAlignment="1" applyProtection="1">
      <alignment horizontal="center" vertical="center"/>
      <protection hidden="1"/>
    </xf>
    <xf numFmtId="1" fontId="4" fillId="0" borderId="3" xfId="0" applyNumberFormat="1" applyFont="1" applyFill="1" applyBorder="1" applyAlignment="1" applyProtection="1">
      <alignment horizontal="center" vertical="center"/>
      <protection hidden="1"/>
    </xf>
    <xf numFmtId="0" fontId="4" fillId="0" borderId="3" xfId="0" applyFont="1" applyBorder="1" applyAlignment="1" applyProtection="1">
      <alignment vertical="center"/>
      <protection hidden="1"/>
    </xf>
    <xf numFmtId="0" fontId="4" fillId="0" borderId="0" xfId="0" applyFont="1" applyBorder="1" applyAlignment="1" applyProtection="1">
      <alignment horizontal="center" vertical="center"/>
      <protection hidden="1"/>
    </xf>
    <xf numFmtId="0" fontId="2" fillId="0" borderId="0" xfId="0" applyFont="1" applyFill="1"/>
    <xf numFmtId="0" fontId="4" fillId="0" borderId="0" xfId="0" applyFont="1" applyBorder="1" applyAlignment="1">
      <alignment horizontal="right"/>
    </xf>
    <xf numFmtId="0" fontId="19" fillId="4" borderId="3" xfId="0" applyFont="1" applyFill="1" applyBorder="1" applyAlignment="1" applyProtection="1">
      <alignment horizontal="center" vertical="center" wrapText="1"/>
      <protection hidden="1"/>
    </xf>
    <xf numFmtId="0" fontId="19" fillId="4" borderId="3" xfId="0" applyNumberFormat="1" applyFont="1" applyFill="1" applyBorder="1" applyAlignment="1" applyProtection="1">
      <alignment horizontal="center" vertical="center" wrapText="1"/>
      <protection hidden="1"/>
    </xf>
    <xf numFmtId="3" fontId="19" fillId="4" borderId="3" xfId="0" applyNumberFormat="1" applyFont="1" applyFill="1" applyBorder="1" applyAlignment="1" applyProtection="1">
      <alignment horizontal="center" vertical="center" wrapText="1"/>
      <protection hidden="1"/>
    </xf>
    <xf numFmtId="0" fontId="19" fillId="4" borderId="4" xfId="0" applyFont="1" applyFill="1" applyBorder="1" applyAlignment="1" applyProtection="1">
      <alignment vertical="center" wrapText="1"/>
      <protection hidden="1"/>
    </xf>
    <xf numFmtId="0" fontId="19" fillId="4" borderId="7" xfId="0" applyFont="1" applyFill="1" applyBorder="1" applyAlignment="1" applyProtection="1">
      <alignment vertical="center" wrapText="1"/>
      <protection hidden="1"/>
    </xf>
    <xf numFmtId="0" fontId="2" fillId="0" borderId="3" xfId="0" applyFont="1" applyBorder="1" applyAlignment="1" applyProtection="1">
      <alignment horizontal="center" vertical="center" wrapText="1"/>
      <protection hidden="1"/>
    </xf>
    <xf numFmtId="172" fontId="2" fillId="0" borderId="3" xfId="0" applyNumberFormat="1" applyFont="1" applyFill="1" applyBorder="1" applyAlignment="1" applyProtection="1">
      <alignment horizontal="center" vertical="center"/>
      <protection hidden="1"/>
    </xf>
    <xf numFmtId="0" fontId="2" fillId="0" borderId="3" xfId="0" applyNumberFormat="1" applyFont="1" applyFill="1" applyBorder="1" applyAlignment="1" applyProtection="1">
      <alignment horizontal="center" vertical="center" wrapText="1"/>
      <protection hidden="1"/>
    </xf>
    <xf numFmtId="0" fontId="0" fillId="0" borderId="0" xfId="0" applyFill="1"/>
    <xf numFmtId="4" fontId="2" fillId="0" borderId="3" xfId="0" applyNumberFormat="1" applyFont="1" applyFill="1" applyBorder="1" applyAlignment="1" applyProtection="1">
      <alignment horizontal="center" vertical="center"/>
      <protection hidden="1"/>
    </xf>
    <xf numFmtId="2" fontId="2" fillId="0" borderId="5" xfId="0" applyNumberFormat="1" applyFont="1" applyFill="1" applyBorder="1" applyAlignment="1" applyProtection="1">
      <alignment horizontal="center" vertical="center"/>
      <protection hidden="1"/>
    </xf>
    <xf numFmtId="0" fontId="2" fillId="0" borderId="3" xfId="0" applyFont="1" applyBorder="1" applyAlignment="1" applyProtection="1">
      <alignment vertical="center" wrapText="1"/>
      <protection hidden="1"/>
    </xf>
    <xf numFmtId="0" fontId="2" fillId="0" borderId="3" xfId="0" applyFont="1" applyFill="1" applyBorder="1" applyAlignment="1" applyProtection="1">
      <alignment horizontal="center" vertical="center" wrapText="1"/>
      <protection hidden="1"/>
    </xf>
    <xf numFmtId="2" fontId="2" fillId="0" borderId="3" xfId="0" applyNumberFormat="1" applyFont="1" applyFill="1" applyBorder="1" applyAlignment="1" applyProtection="1">
      <alignment horizontal="center" vertical="center" wrapText="1"/>
      <protection hidden="1"/>
    </xf>
    <xf numFmtId="0" fontId="2" fillId="0" borderId="3" xfId="0" applyFont="1" applyFill="1" applyBorder="1" applyAlignment="1" applyProtection="1">
      <alignment vertical="center"/>
      <protection hidden="1"/>
    </xf>
    <xf numFmtId="2" fontId="4" fillId="0" borderId="3" xfId="0" applyNumberFormat="1" applyFont="1" applyBorder="1" applyAlignment="1">
      <alignment horizontal="center" vertical="center" wrapText="1"/>
    </xf>
    <xf numFmtId="0" fontId="19" fillId="0" borderId="0" xfId="0" applyFont="1" applyBorder="1" applyAlignment="1">
      <alignment horizontal="center" vertical="center" wrapText="1"/>
    </xf>
    <xf numFmtId="0" fontId="19" fillId="0" borderId="0" xfId="0" applyFont="1" applyBorder="1" applyAlignment="1" applyProtection="1">
      <alignment vertical="center"/>
      <protection hidden="1"/>
    </xf>
    <xf numFmtId="0" fontId="4" fillId="0" borderId="3" xfId="0" applyNumberFormat="1" applyFont="1" applyBorder="1" applyAlignment="1" applyProtection="1">
      <alignment horizontal="center" vertical="center" wrapText="1"/>
      <protection hidden="1"/>
    </xf>
    <xf numFmtId="0" fontId="4" fillId="0" borderId="3" xfId="0" applyNumberFormat="1" applyFont="1" applyBorder="1" applyAlignment="1" applyProtection="1">
      <alignment horizontal="center" vertical="center"/>
      <protection hidden="1"/>
    </xf>
    <xf numFmtId="0" fontId="4" fillId="0" borderId="3" xfId="0" applyFont="1" applyBorder="1" applyAlignment="1" applyProtection="1">
      <alignment vertical="center" wrapText="1"/>
      <protection hidden="1"/>
    </xf>
    <xf numFmtId="4" fontId="4" fillId="0" borderId="3" xfId="0" applyNumberFormat="1" applyFont="1" applyFill="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19" fillId="0" borderId="0" xfId="0" applyFont="1" applyBorder="1" applyAlignment="1" applyProtection="1">
      <alignment horizontal="center" vertical="center" wrapText="1"/>
      <protection hidden="1"/>
    </xf>
    <xf numFmtId="172" fontId="4" fillId="0" borderId="0" xfId="0" applyNumberFormat="1" applyFont="1" applyBorder="1" applyAlignment="1" applyProtection="1">
      <alignment horizontal="center" vertical="center"/>
      <protection hidden="1"/>
    </xf>
    <xf numFmtId="3" fontId="19" fillId="0" borderId="0" xfId="0" applyNumberFormat="1" applyFont="1" applyFill="1" applyBorder="1" applyAlignment="1" applyProtection="1">
      <alignment horizontal="center" vertical="center"/>
      <protection hidden="1"/>
    </xf>
    <xf numFmtId="14" fontId="13" fillId="0" borderId="0" xfId="0" applyNumberFormat="1" applyFont="1" applyAlignment="1">
      <alignment horizontal="center"/>
    </xf>
    <xf numFmtId="0" fontId="20" fillId="0" borderId="0" xfId="0" applyFont="1"/>
    <xf numFmtId="0" fontId="4" fillId="0" borderId="6" xfId="0" applyFont="1" applyBorder="1"/>
    <xf numFmtId="2" fontId="19" fillId="0" borderId="3" xfId="0" applyNumberFormat="1" applyFont="1" applyFill="1" applyBorder="1" applyAlignment="1">
      <alignment horizontal="center" vertical="center" wrapText="1"/>
    </xf>
    <xf numFmtId="0" fontId="4" fillId="0" borderId="0" xfId="0" applyFont="1" applyFill="1" applyBorder="1" applyAlignment="1">
      <alignment horizontal="center"/>
    </xf>
    <xf numFmtId="0" fontId="4" fillId="0" borderId="0" xfId="0" applyFont="1" applyFill="1" applyBorder="1" applyAlignment="1"/>
    <xf numFmtId="0" fontId="19" fillId="4" borderId="12" xfId="0" applyFont="1" applyFill="1" applyBorder="1" applyAlignment="1">
      <alignment horizontal="center" vertical="center"/>
    </xf>
    <xf numFmtId="3" fontId="19" fillId="0" borderId="0" xfId="0" applyNumberFormat="1" applyFont="1" applyBorder="1" applyAlignment="1">
      <alignment vertical="center" wrapText="1"/>
    </xf>
    <xf numFmtId="0" fontId="19" fillId="0" borderId="12" xfId="0" applyFont="1" applyBorder="1" applyAlignment="1">
      <alignment horizontal="center" vertical="center" wrapText="1"/>
    </xf>
    <xf numFmtId="173" fontId="2" fillId="0" borderId="0" xfId="0" applyNumberFormat="1" applyFont="1" applyAlignment="1">
      <alignment horizontal="center" vertical="center"/>
    </xf>
    <xf numFmtId="14" fontId="13" fillId="0" borderId="0" xfId="0" applyNumberFormat="1" applyFont="1" applyAlignment="1">
      <alignment horizontal="center" vertical="center"/>
    </xf>
    <xf numFmtId="49" fontId="4" fillId="0" borderId="3" xfId="0" applyNumberFormat="1" applyFont="1" applyFill="1" applyBorder="1" applyAlignment="1">
      <alignment horizontal="center" vertical="center" wrapText="1"/>
    </xf>
    <xf numFmtId="2" fontId="19" fillId="0" borderId="35" xfId="0" applyNumberFormat="1" applyFont="1" applyFill="1" applyBorder="1" applyAlignment="1">
      <alignment horizontal="center" vertical="center" wrapText="1"/>
    </xf>
    <xf numFmtId="0" fontId="4" fillId="0" borderId="9" xfId="0" applyFont="1" applyFill="1" applyBorder="1" applyAlignment="1">
      <alignment vertical="center" wrapText="1"/>
    </xf>
    <xf numFmtId="0" fontId="4" fillId="0" borderId="0" xfId="0" applyFont="1" applyBorder="1" applyAlignment="1" applyProtection="1">
      <alignment horizontal="right" vertical="center"/>
      <protection hidden="1"/>
    </xf>
    <xf numFmtId="0" fontId="19" fillId="2" borderId="3" xfId="0" applyFont="1" applyFill="1" applyBorder="1" applyAlignment="1" applyProtection="1">
      <alignment horizontal="center" vertical="center"/>
      <protection hidden="1"/>
    </xf>
    <xf numFmtId="9" fontId="4" fillId="0" borderId="3" xfId="0" applyNumberFormat="1" applyFont="1" applyBorder="1" applyAlignment="1" applyProtection="1">
      <alignment horizontal="center" vertical="center"/>
      <protection hidden="1"/>
    </xf>
    <xf numFmtId="9" fontId="4" fillId="0" borderId="3" xfId="0" applyNumberFormat="1" applyFont="1" applyFill="1" applyBorder="1" applyAlignment="1" applyProtection="1">
      <alignment horizontal="center" vertical="center"/>
      <protection hidden="1"/>
    </xf>
    <xf numFmtId="0" fontId="34" fillId="0" borderId="0" xfId="3" applyNumberFormat="1" applyFont="1" applyFill="1" applyBorder="1" applyAlignment="1" applyProtection="1"/>
    <xf numFmtId="0" fontId="19" fillId="4" borderId="25" xfId="0" applyFont="1" applyFill="1" applyBorder="1" applyAlignment="1">
      <alignment horizontal="center" vertical="center" wrapText="1"/>
    </xf>
    <xf numFmtId="0" fontId="19" fillId="4" borderId="26" xfId="0" applyFont="1" applyFill="1" applyBorder="1" applyAlignment="1">
      <alignment horizontal="center" vertical="center" wrapText="1"/>
    </xf>
    <xf numFmtId="0" fontId="4" fillId="0" borderId="26" xfId="0" applyFont="1" applyFill="1" applyBorder="1" applyAlignment="1">
      <alignment vertical="center"/>
    </xf>
    <xf numFmtId="0" fontId="4" fillId="0" borderId="25" xfId="0" applyFont="1" applyBorder="1" applyAlignment="1">
      <alignment horizontal="center" vertical="center"/>
    </xf>
    <xf numFmtId="0" fontId="4" fillId="6" borderId="26" xfId="0" applyFont="1" applyFill="1" applyBorder="1" applyAlignment="1">
      <alignment horizontal="center" vertical="center"/>
    </xf>
    <xf numFmtId="0" fontId="4" fillId="0" borderId="25" xfId="0" applyFont="1" applyFill="1" applyBorder="1" applyAlignment="1">
      <alignment vertical="center"/>
    </xf>
    <xf numFmtId="0" fontId="4" fillId="0" borderId="25" xfId="0" applyFont="1" applyFill="1" applyBorder="1" applyAlignment="1">
      <alignment vertical="center" wrapText="1"/>
    </xf>
    <xf numFmtId="0" fontId="4" fillId="0" borderId="26" xfId="0" applyFont="1" applyFill="1" applyBorder="1" applyAlignment="1">
      <alignment horizontal="center" vertical="center" wrapText="1"/>
    </xf>
    <xf numFmtId="0" fontId="4" fillId="6" borderId="25" xfId="0" applyFont="1" applyFill="1" applyBorder="1" applyAlignment="1">
      <alignment horizontal="center" vertical="center"/>
    </xf>
    <xf numFmtId="0" fontId="4" fillId="0" borderId="25" xfId="0" applyFont="1" applyFill="1" applyBorder="1" applyAlignment="1">
      <alignment horizontal="left"/>
    </xf>
    <xf numFmtId="2" fontId="4" fillId="0" borderId="25" xfId="0" applyNumberFormat="1" applyFont="1" applyBorder="1" applyAlignment="1">
      <alignment horizontal="center" vertical="center" wrapText="1"/>
    </xf>
    <xf numFmtId="0" fontId="4" fillId="0" borderId="25" xfId="0" applyFont="1" applyBorder="1" applyAlignment="1">
      <alignment horizontal="center"/>
    </xf>
    <xf numFmtId="0" fontId="4" fillId="0" borderId="25" xfId="0" applyFont="1" applyFill="1" applyBorder="1" applyAlignment="1"/>
    <xf numFmtId="0" fontId="4" fillId="0" borderId="36" xfId="0" applyFont="1" applyFill="1" applyBorder="1" applyAlignment="1">
      <alignment horizontal="center" vertical="center" wrapText="1"/>
    </xf>
    <xf numFmtId="0" fontId="4" fillId="0" borderId="37" xfId="0" applyFont="1" applyFill="1" applyBorder="1" applyAlignment="1">
      <alignment horizontal="center" vertical="center" wrapText="1"/>
    </xf>
    <xf numFmtId="0" fontId="4" fillId="0" borderId="31" xfId="0" applyFont="1" applyFill="1" applyBorder="1" applyAlignment="1">
      <alignment horizontal="left"/>
    </xf>
    <xf numFmtId="2" fontId="4" fillId="0" borderId="31" xfId="0" applyNumberFormat="1" applyFont="1" applyBorder="1" applyAlignment="1">
      <alignment horizontal="center" vertical="center" wrapText="1"/>
    </xf>
    <xf numFmtId="0" fontId="4" fillId="0" borderId="31" xfId="0" applyFont="1" applyBorder="1" applyAlignment="1">
      <alignment horizontal="center"/>
    </xf>
    <xf numFmtId="0" fontId="19" fillId="4" borderId="31" xfId="0" applyFont="1" applyFill="1" applyBorder="1" applyAlignment="1">
      <alignment horizontal="center" vertical="center" wrapText="1"/>
    </xf>
    <xf numFmtId="0" fontId="4" fillId="0" borderId="28" xfId="0" applyFont="1" applyFill="1" applyBorder="1" applyAlignment="1">
      <alignment vertical="center" wrapText="1"/>
    </xf>
    <xf numFmtId="0" fontId="4" fillId="0" borderId="28" xfId="0" applyFont="1" applyFill="1" applyBorder="1" applyAlignment="1">
      <alignment horizontal="center" vertical="center"/>
    </xf>
    <xf numFmtId="0" fontId="4" fillId="0" borderId="27" xfId="0" applyFont="1" applyFill="1" applyBorder="1" applyAlignment="1">
      <alignment horizontal="center" vertical="center" wrapText="1"/>
    </xf>
    <xf numFmtId="0" fontId="4" fillId="0" borderId="12" xfId="0" applyNumberFormat="1" applyFont="1" applyFill="1" applyBorder="1" applyAlignment="1" applyProtection="1">
      <alignment horizontal="center" vertical="center"/>
      <protection hidden="1"/>
    </xf>
    <xf numFmtId="0" fontId="4" fillId="0" borderId="25" xfId="0" applyFont="1" applyFill="1" applyBorder="1" applyAlignment="1">
      <alignment horizontal="center" vertical="center"/>
    </xf>
    <xf numFmtId="0" fontId="4" fillId="0" borderId="3" xfId="0" applyNumberFormat="1" applyFont="1" applyFill="1" applyBorder="1" applyAlignment="1" applyProtection="1">
      <alignment horizontal="center" vertical="center"/>
      <protection hidden="1"/>
    </xf>
    <xf numFmtId="0" fontId="4" fillId="0" borderId="25" xfId="0" applyFont="1" applyFill="1" applyBorder="1" applyAlignment="1">
      <alignment horizontal="left" vertical="center" wrapText="1"/>
    </xf>
    <xf numFmtId="0" fontId="4" fillId="0" borderId="9" xfId="0" applyFont="1" applyBorder="1" applyAlignment="1">
      <alignment vertical="center" wrapText="1"/>
    </xf>
    <xf numFmtId="0" fontId="4" fillId="0" borderId="4" xfId="0" applyFont="1" applyFill="1" applyBorder="1" applyAlignment="1">
      <alignment vertical="center"/>
    </xf>
    <xf numFmtId="0" fontId="4" fillId="0" borderId="0" xfId="0" applyFont="1" applyFill="1" applyAlignment="1">
      <alignment wrapText="1"/>
    </xf>
    <xf numFmtId="0" fontId="45" fillId="0" borderId="0" xfId="0" applyFont="1" applyFill="1" applyAlignment="1">
      <alignment vertical="center" wrapText="1"/>
    </xf>
    <xf numFmtId="0" fontId="4" fillId="0" borderId="0" xfId="0" applyFont="1" applyAlignment="1" applyProtection="1">
      <alignment vertical="center"/>
      <protection hidden="1"/>
    </xf>
    <xf numFmtId="0" fontId="4" fillId="0" borderId="3" xfId="0" applyFont="1" applyFill="1" applyBorder="1" applyAlignment="1" applyProtection="1">
      <alignment vertical="center"/>
      <protection hidden="1"/>
    </xf>
    <xf numFmtId="0" fontId="4" fillId="0" borderId="3" xfId="0" applyFont="1" applyFill="1" applyBorder="1" applyAlignment="1" applyProtection="1">
      <alignment horizontal="left" vertical="center" wrapText="1"/>
      <protection hidden="1"/>
    </xf>
    <xf numFmtId="0" fontId="13" fillId="4" borderId="3" xfId="0" applyFont="1" applyFill="1" applyBorder="1" applyAlignment="1" applyProtection="1">
      <alignment horizontal="center" vertical="center" wrapText="1"/>
      <protection hidden="1"/>
    </xf>
    <xf numFmtId="0" fontId="28" fillId="0" borderId="0" xfId="0" applyFont="1"/>
    <xf numFmtId="14" fontId="19" fillId="0" borderId="34" xfId="0" applyNumberFormat="1" applyFont="1" applyBorder="1" applyAlignment="1" applyProtection="1">
      <alignment horizontal="center" vertical="center"/>
      <protection hidden="1"/>
    </xf>
    <xf numFmtId="0" fontId="47" fillId="0" borderId="3" xfId="0" applyFont="1" applyBorder="1" applyAlignment="1">
      <alignment horizontal="center" vertical="center" wrapText="1"/>
    </xf>
    <xf numFmtId="0" fontId="2" fillId="3" borderId="3" xfId="0" applyFont="1" applyFill="1" applyBorder="1" applyAlignment="1">
      <alignment horizontal="center" vertical="center" wrapText="1"/>
    </xf>
    <xf numFmtId="0" fontId="4" fillId="0" borderId="0" xfId="0" applyFont="1" applyBorder="1" applyAlignment="1" applyProtection="1">
      <alignment vertical="center"/>
      <protection hidden="1"/>
    </xf>
    <xf numFmtId="0" fontId="4" fillId="0" borderId="3" xfId="3" applyFont="1" applyFill="1" applyBorder="1" applyAlignment="1">
      <alignment vertical="center" wrapText="1"/>
    </xf>
    <xf numFmtId="177" fontId="4" fillId="0" borderId="3" xfId="3" applyNumberFormat="1" applyFont="1" applyFill="1" applyBorder="1" applyAlignment="1">
      <alignment horizontal="center" vertical="center" wrapText="1"/>
    </xf>
    <xf numFmtId="0" fontId="4" fillId="0" borderId="6" xfId="0" applyFont="1" applyFill="1" applyBorder="1" applyAlignment="1">
      <alignment vertical="center" wrapText="1"/>
    </xf>
    <xf numFmtId="177" fontId="4" fillId="0" borderId="3" xfId="0" applyNumberFormat="1" applyFont="1" applyFill="1" applyBorder="1" applyAlignment="1">
      <alignment horizontal="center" vertical="center" wrapText="1"/>
    </xf>
    <xf numFmtId="0" fontId="4" fillId="0" borderId="6" xfId="0" applyFont="1" applyBorder="1" applyAlignment="1">
      <alignment vertical="center" wrapText="1"/>
    </xf>
    <xf numFmtId="0" fontId="4" fillId="0" borderId="6" xfId="0" applyNumberFormat="1" applyFont="1" applyFill="1" applyBorder="1" applyAlignment="1">
      <alignment vertical="center" wrapText="1"/>
    </xf>
    <xf numFmtId="0" fontId="2" fillId="0" borderId="6" xfId="0" applyFont="1" applyFill="1" applyBorder="1" applyAlignment="1" applyProtection="1">
      <alignment horizontal="left" vertical="center" wrapText="1"/>
      <protection hidden="1"/>
    </xf>
    <xf numFmtId="0" fontId="4" fillId="0" borderId="6" xfId="0" applyFont="1" applyFill="1" applyBorder="1" applyAlignment="1" applyProtection="1">
      <alignment horizontal="left" vertical="center" wrapText="1"/>
      <protection hidden="1"/>
    </xf>
    <xf numFmtId="177" fontId="4" fillId="0" borderId="3" xfId="0" applyNumberFormat="1" applyFont="1" applyBorder="1" applyAlignment="1">
      <alignment horizontal="center" vertical="center"/>
    </xf>
    <xf numFmtId="177" fontId="4" fillId="0" borderId="3" xfId="0" applyNumberFormat="1" applyFont="1" applyBorder="1" applyAlignment="1">
      <alignment horizontal="center" vertical="center" wrapText="1"/>
    </xf>
    <xf numFmtId="177" fontId="4" fillId="0" borderId="3" xfId="0" applyNumberFormat="1" applyFont="1" applyFill="1" applyBorder="1" applyAlignment="1">
      <alignment horizontal="center" vertical="center"/>
    </xf>
    <xf numFmtId="0" fontId="4" fillId="0" borderId="6" xfId="0" applyFont="1" applyFill="1" applyBorder="1" applyAlignment="1" applyProtection="1">
      <alignment vertical="center" wrapText="1"/>
      <protection hidden="1"/>
    </xf>
    <xf numFmtId="0" fontId="2" fillId="0" borderId="6" xfId="0" applyNumberFormat="1" applyFont="1" applyFill="1" applyBorder="1" applyAlignment="1">
      <alignment vertical="center" wrapText="1"/>
    </xf>
    <xf numFmtId="0" fontId="13" fillId="2" borderId="7" xfId="0" applyFont="1" applyFill="1" applyBorder="1" applyAlignment="1" applyProtection="1">
      <alignment horizontal="center" vertical="center" wrapText="1"/>
      <protection hidden="1"/>
    </xf>
    <xf numFmtId="177" fontId="2" fillId="0" borderId="3" xfId="0" applyNumberFormat="1" applyFont="1" applyBorder="1" applyAlignment="1">
      <alignment horizontal="center" vertical="center" wrapText="1"/>
    </xf>
    <xf numFmtId="0" fontId="2" fillId="0" borderId="6" xfId="0" applyFont="1" applyFill="1" applyBorder="1" applyAlignment="1">
      <alignment vertical="center" wrapText="1"/>
    </xf>
    <xf numFmtId="0" fontId="2" fillId="0" borderId="6" xfId="0" applyFont="1" applyBorder="1" applyAlignment="1"/>
    <xf numFmtId="0" fontId="4" fillId="0" borderId="7" xfId="0" applyFont="1" applyFill="1" applyBorder="1" applyAlignment="1" applyProtection="1">
      <alignment vertical="center" wrapText="1"/>
      <protection hidden="1"/>
    </xf>
    <xf numFmtId="0" fontId="2" fillId="0" borderId="0" xfId="0" applyFont="1" applyFill="1" applyBorder="1" applyAlignment="1" applyProtection="1">
      <alignment horizontal="left" vertical="center" wrapText="1"/>
      <protection hidden="1"/>
    </xf>
    <xf numFmtId="0" fontId="4" fillId="0" borderId="0" xfId="3" applyFont="1" applyFill="1" applyBorder="1" applyAlignment="1">
      <alignment vertical="center" wrapText="1"/>
    </xf>
    <xf numFmtId="0" fontId="2" fillId="0" borderId="0" xfId="0" applyFont="1" applyBorder="1" applyAlignment="1">
      <alignment vertical="center"/>
    </xf>
    <xf numFmtId="0" fontId="2" fillId="0" borderId="0" xfId="0" applyFont="1" applyFill="1" applyBorder="1"/>
    <xf numFmtId="0" fontId="2" fillId="0" borderId="0" xfId="0" applyFont="1" applyFill="1" applyBorder="1" applyAlignment="1"/>
    <xf numFmtId="0" fontId="13" fillId="2" borderId="3" xfId="0" applyFont="1" applyFill="1" applyBorder="1" applyAlignment="1" applyProtection="1">
      <alignment horizontal="center" vertical="center" wrapText="1"/>
      <protection hidden="1"/>
    </xf>
    <xf numFmtId="0" fontId="2" fillId="0" borderId="3" xfId="0" applyFont="1" applyFill="1" applyBorder="1" applyAlignment="1" applyProtection="1">
      <alignment vertical="center" wrapText="1"/>
      <protection hidden="1"/>
    </xf>
    <xf numFmtId="0" fontId="2" fillId="0" borderId="0" xfId="0" applyFont="1" applyFill="1" applyAlignment="1"/>
    <xf numFmtId="0" fontId="2" fillId="0" borderId="0" xfId="0" applyFont="1" applyFill="1" applyAlignment="1">
      <alignment horizontal="right"/>
    </xf>
    <xf numFmtId="0" fontId="48" fillId="0" borderId="3" xfId="0" applyFont="1" applyFill="1" applyBorder="1" applyAlignment="1">
      <alignment horizontal="center" vertical="center"/>
    </xf>
    <xf numFmtId="0" fontId="48" fillId="0" borderId="3" xfId="0" applyFont="1" applyFill="1" applyBorder="1" applyAlignment="1">
      <alignment horizontal="center" vertical="center" wrapText="1"/>
    </xf>
    <xf numFmtId="0" fontId="2" fillId="0" borderId="0" xfId="0" applyFont="1" applyFill="1" applyAlignment="1">
      <alignment vertical="center"/>
    </xf>
    <xf numFmtId="0" fontId="4" fillId="0" borderId="12" xfId="0" applyFont="1" applyFill="1" applyBorder="1" applyAlignment="1" applyProtection="1">
      <alignment horizontal="center" vertical="center" wrapText="1"/>
      <protection hidden="1"/>
    </xf>
    <xf numFmtId="0" fontId="2" fillId="0" borderId="0" xfId="0" applyFont="1" applyAlignment="1">
      <alignment horizontal="left" vertical="top"/>
    </xf>
    <xf numFmtId="0" fontId="4" fillId="0" borderId="3" xfId="4" applyFont="1" applyFill="1" applyBorder="1" applyAlignment="1">
      <alignment vertical="center" wrapText="1"/>
    </xf>
    <xf numFmtId="2" fontId="2" fillId="0" borderId="3" xfId="0" applyNumberFormat="1" applyFont="1" applyFill="1" applyBorder="1" applyAlignment="1" applyProtection="1">
      <alignment horizontal="center" vertical="center"/>
      <protection hidden="1"/>
    </xf>
    <xf numFmtId="14" fontId="4" fillId="0" borderId="0" xfId="0" applyNumberFormat="1" applyFont="1" applyAlignment="1">
      <alignment horizontal="center"/>
    </xf>
    <xf numFmtId="0" fontId="4" fillId="0" borderId="0" xfId="0" applyFont="1" applyBorder="1" applyAlignment="1">
      <alignment horizontal="right" vertical="center"/>
    </xf>
    <xf numFmtId="2" fontId="4" fillId="0" borderId="3" xfId="0" applyNumberFormat="1" applyFont="1" applyFill="1" applyBorder="1" applyAlignment="1" applyProtection="1">
      <alignment horizontal="center" vertical="center" wrapText="1"/>
      <protection hidden="1"/>
    </xf>
    <xf numFmtId="1" fontId="4" fillId="0" borderId="3" xfId="0" applyNumberFormat="1" applyFont="1" applyFill="1" applyBorder="1" applyAlignment="1" applyProtection="1">
      <alignment horizontal="center" vertical="center" wrapText="1"/>
      <protection hidden="1"/>
    </xf>
    <xf numFmtId="0" fontId="0" fillId="0" borderId="3" xfId="0" applyFill="1" applyBorder="1" applyAlignment="1">
      <alignment horizontal="center" vertical="center"/>
    </xf>
    <xf numFmtId="0" fontId="2" fillId="0" borderId="5" xfId="0" applyFont="1" applyFill="1" applyBorder="1" applyAlignment="1" applyProtection="1">
      <alignment horizontal="center" vertical="center" wrapText="1"/>
      <protection hidden="1"/>
    </xf>
    <xf numFmtId="0" fontId="2" fillId="0" borderId="5" xfId="0" applyNumberFormat="1" applyFont="1" applyFill="1" applyBorder="1" applyAlignment="1" applyProtection="1">
      <alignment horizontal="center" vertical="center" wrapText="1"/>
      <protection hidden="1"/>
    </xf>
    <xf numFmtId="0" fontId="2" fillId="0" borderId="12" xfId="0" applyNumberFormat="1" applyFont="1" applyFill="1" applyBorder="1" applyAlignment="1" applyProtection="1">
      <alignment horizontal="center" vertical="center" wrapText="1"/>
      <protection hidden="1"/>
    </xf>
    <xf numFmtId="2" fontId="2" fillId="0" borderId="5" xfId="0" applyNumberFormat="1" applyFont="1" applyFill="1" applyBorder="1" applyAlignment="1" applyProtection="1">
      <alignment horizontal="center" vertical="center" wrapText="1"/>
      <protection hidden="1"/>
    </xf>
    <xf numFmtId="3" fontId="4" fillId="0" borderId="3" xfId="0" applyNumberFormat="1" applyFont="1" applyFill="1" applyBorder="1" applyAlignment="1" applyProtection="1">
      <alignment horizontal="center" vertical="center" wrapText="1"/>
      <protection hidden="1"/>
    </xf>
    <xf numFmtId="0" fontId="21" fillId="0" borderId="0" xfId="0" applyFont="1" applyFill="1" applyAlignment="1">
      <alignment horizontal="right"/>
    </xf>
    <xf numFmtId="0" fontId="9" fillId="0" borderId="38" xfId="0" applyFont="1" applyBorder="1" applyAlignment="1">
      <alignment horizontal="center"/>
    </xf>
    <xf numFmtId="4" fontId="19" fillId="0" borderId="5" xfId="0" applyNumberFormat="1" applyFont="1" applyFill="1" applyBorder="1" applyAlignment="1">
      <alignment horizontal="center" vertical="center"/>
    </xf>
    <xf numFmtId="4" fontId="19" fillId="0" borderId="3" xfId="0" applyNumberFormat="1" applyFont="1" applyFill="1" applyBorder="1" applyAlignment="1">
      <alignment horizontal="center" vertical="center"/>
    </xf>
    <xf numFmtId="0" fontId="4" fillId="0" borderId="4" xfId="0" applyFont="1" applyBorder="1" applyAlignment="1">
      <alignment horizontal="center" vertical="center" wrapText="1"/>
    </xf>
    <xf numFmtId="0" fontId="19" fillId="0" borderId="13" xfId="0" applyFont="1" applyFill="1" applyBorder="1" applyAlignment="1" applyProtection="1">
      <alignment horizontal="center" vertical="center" wrapText="1"/>
      <protection locked="0"/>
    </xf>
    <xf numFmtId="0" fontId="19" fillId="0" borderId="5" xfId="0" applyNumberFormat="1" applyFont="1" applyFill="1" applyBorder="1" applyAlignment="1">
      <alignment horizontal="center" vertical="center" wrapText="1"/>
    </xf>
    <xf numFmtId="0" fontId="19" fillId="2" borderId="3" xfId="0" applyFont="1" applyFill="1" applyBorder="1" applyAlignment="1">
      <alignment vertical="center"/>
    </xf>
    <xf numFmtId="0" fontId="19" fillId="0" borderId="6" xfId="0" applyFont="1" applyFill="1" applyBorder="1" applyAlignment="1">
      <alignment vertical="center"/>
    </xf>
    <xf numFmtId="0" fontId="0" fillId="0" borderId="0" xfId="0" applyBorder="1"/>
    <xf numFmtId="0" fontId="4" fillId="0" borderId="39" xfId="0" applyFont="1" applyFill="1" applyBorder="1"/>
    <xf numFmtId="0" fontId="4" fillId="0" borderId="4" xfId="0" applyFont="1" applyFill="1" applyBorder="1" applyAlignment="1">
      <alignment horizontal="center" vertical="center" wrapText="1"/>
    </xf>
    <xf numFmtId="0" fontId="13" fillId="5" borderId="3" xfId="0" applyFont="1" applyFill="1" applyBorder="1" applyAlignment="1">
      <alignment horizontal="center" vertical="center"/>
    </xf>
    <xf numFmtId="0" fontId="2" fillId="0" borderId="8" xfId="0" applyFont="1" applyBorder="1" applyAlignment="1">
      <alignment vertical="center" wrapText="1"/>
    </xf>
    <xf numFmtId="0" fontId="2" fillId="0" borderId="22" xfId="0" applyFont="1" applyBorder="1" applyAlignment="1">
      <alignment vertical="center" wrapText="1"/>
    </xf>
    <xf numFmtId="0" fontId="2" fillId="0" borderId="13" xfId="0" applyFont="1" applyBorder="1" applyAlignment="1">
      <alignment vertical="center" wrapText="1"/>
    </xf>
    <xf numFmtId="0" fontId="2" fillId="0" borderId="14" xfId="0" applyFont="1" applyBorder="1" applyAlignment="1">
      <alignment vertical="center" wrapText="1"/>
    </xf>
    <xf numFmtId="0" fontId="2" fillId="0" borderId="15" xfId="0" applyFont="1" applyBorder="1" applyAlignment="1">
      <alignment vertical="center" wrapText="1"/>
    </xf>
    <xf numFmtId="4" fontId="4" fillId="0" borderId="4" xfId="0" applyNumberFormat="1" applyFont="1" applyFill="1" applyBorder="1" applyAlignment="1">
      <alignment horizontal="center" vertical="center" wrapText="1"/>
    </xf>
    <xf numFmtId="0" fontId="19" fillId="2" borderId="40" xfId="0" applyFont="1" applyFill="1" applyBorder="1" applyAlignment="1">
      <alignment horizontal="center" vertical="center" wrapText="1"/>
    </xf>
    <xf numFmtId="4" fontId="4" fillId="0" borderId="41" xfId="0" applyNumberFormat="1" applyFont="1" applyFill="1" applyBorder="1" applyAlignment="1">
      <alignment horizontal="center" vertical="center" wrapText="1"/>
    </xf>
    <xf numFmtId="0" fontId="4" fillId="0" borderId="41" xfId="0" applyFont="1" applyFill="1" applyBorder="1" applyAlignment="1">
      <alignment horizontal="center" vertical="center" wrapText="1"/>
    </xf>
    <xf numFmtId="0" fontId="2" fillId="0" borderId="7" xfId="0" applyFont="1" applyBorder="1" applyAlignment="1">
      <alignment vertical="center" wrapText="1"/>
    </xf>
    <xf numFmtId="0" fontId="0" fillId="0" borderId="3" xfId="0" applyFill="1" applyBorder="1" applyAlignment="1"/>
    <xf numFmtId="0" fontId="2" fillId="0" borderId="42" xfId="0" applyFont="1" applyBorder="1" applyAlignment="1">
      <alignment vertical="center" wrapText="1"/>
    </xf>
    <xf numFmtId="0" fontId="2" fillId="0" borderId="43" xfId="0" applyFont="1" applyBorder="1" applyAlignment="1">
      <alignment vertical="center" wrapText="1"/>
    </xf>
    <xf numFmtId="0" fontId="2" fillId="0" borderId="7" xfId="0" applyFont="1" applyFill="1" applyBorder="1" applyAlignment="1">
      <alignment vertical="center" wrapText="1"/>
    </xf>
    <xf numFmtId="0" fontId="2" fillId="0" borderId="44" xfId="0" applyFont="1" applyBorder="1" applyAlignment="1">
      <alignment vertical="center" wrapText="1"/>
    </xf>
    <xf numFmtId="0" fontId="2" fillId="0" borderId="45" xfId="0" applyFont="1" applyBorder="1" applyAlignment="1">
      <alignment horizontal="left" vertical="center" wrapText="1" indent="1"/>
    </xf>
    <xf numFmtId="0" fontId="19" fillId="0" borderId="0" xfId="0" applyFont="1" applyFill="1" applyBorder="1" applyAlignment="1">
      <alignment horizontal="right" vertical="center"/>
    </xf>
    <xf numFmtId="0" fontId="4" fillId="0" borderId="15" xfId="0" applyFont="1" applyFill="1" applyBorder="1" applyAlignment="1">
      <alignment horizontal="center" vertical="center"/>
    </xf>
    <xf numFmtId="0" fontId="4" fillId="0" borderId="12" xfId="0" applyFont="1" applyBorder="1" applyAlignment="1">
      <alignment horizontal="center" vertical="center"/>
    </xf>
    <xf numFmtId="0" fontId="4" fillId="0" borderId="4" xfId="0" applyFont="1" applyFill="1" applyBorder="1" applyAlignment="1">
      <alignment horizontal="center" vertical="center"/>
    </xf>
    <xf numFmtId="0" fontId="4" fillId="0" borderId="7" xfId="0" applyFont="1" applyFill="1" applyBorder="1" applyAlignment="1">
      <alignment horizontal="center" vertical="center"/>
    </xf>
    <xf numFmtId="1" fontId="4" fillId="0" borderId="0" xfId="0" applyNumberFormat="1" applyFont="1" applyFill="1" applyBorder="1" applyAlignment="1" applyProtection="1">
      <alignment horizontal="center" vertical="center" wrapText="1"/>
    </xf>
    <xf numFmtId="0" fontId="31" fillId="0" borderId="0" xfId="0" applyFont="1" applyFill="1" applyBorder="1" applyAlignment="1">
      <alignment horizontal="center" vertical="center" wrapText="1"/>
    </xf>
    <xf numFmtId="2" fontId="4" fillId="0" borderId="0" xfId="0" applyNumberFormat="1" applyFont="1" applyFill="1" applyBorder="1" applyAlignment="1">
      <alignment vertical="center"/>
    </xf>
    <xf numFmtId="0" fontId="4" fillId="0" borderId="0" xfId="0" applyFont="1" applyFill="1" applyBorder="1" applyAlignment="1">
      <alignment horizontal="right" vertical="center"/>
    </xf>
    <xf numFmtId="4" fontId="4" fillId="0" borderId="3" xfId="0" applyNumberFormat="1" applyFont="1" applyFill="1" applyBorder="1" applyAlignment="1">
      <alignment vertical="center"/>
    </xf>
    <xf numFmtId="4" fontId="4" fillId="0" borderId="3" xfId="0" applyNumberFormat="1" applyFont="1" applyFill="1" applyBorder="1" applyAlignment="1">
      <alignment horizontal="right" vertical="center"/>
    </xf>
    <xf numFmtId="4" fontId="4" fillId="0" borderId="3" xfId="0" applyNumberFormat="1" applyFont="1" applyFill="1" applyBorder="1" applyAlignment="1">
      <alignment vertical="center" wrapText="1"/>
    </xf>
    <xf numFmtId="0" fontId="4" fillId="0" borderId="8" xfId="0" applyFont="1" applyFill="1" applyBorder="1" applyAlignment="1">
      <alignment vertical="center"/>
    </xf>
    <xf numFmtId="3" fontId="4" fillId="0" borderId="12" xfId="0" applyNumberFormat="1" applyFont="1" applyFill="1" applyBorder="1" applyAlignment="1">
      <alignment horizontal="right" vertical="center"/>
    </xf>
    <xf numFmtId="3" fontId="4" fillId="0" borderId="3" xfId="0" applyNumberFormat="1" applyFont="1" applyFill="1" applyBorder="1" applyAlignment="1">
      <alignment horizontal="right" vertical="center"/>
    </xf>
    <xf numFmtId="4" fontId="4" fillId="0" borderId="5" xfId="0" applyNumberFormat="1" applyFont="1" applyFill="1" applyBorder="1" applyAlignment="1">
      <alignment vertical="center"/>
    </xf>
    <xf numFmtId="0" fontId="4" fillId="2" borderId="4" xfId="0" applyNumberFormat="1" applyFont="1" applyFill="1" applyBorder="1" applyAlignment="1">
      <alignment horizontal="center" vertical="center"/>
    </xf>
    <xf numFmtId="0" fontId="4" fillId="0" borderId="9" xfId="0" applyFont="1" applyFill="1" applyBorder="1" applyAlignment="1"/>
    <xf numFmtId="1" fontId="4" fillId="0" borderId="5" xfId="0" applyNumberFormat="1" applyFont="1" applyFill="1" applyBorder="1" applyAlignment="1">
      <alignment horizontal="center" vertical="center"/>
    </xf>
    <xf numFmtId="3" fontId="2" fillId="0" borderId="3" xfId="0" applyNumberFormat="1" applyFont="1" applyBorder="1" applyAlignment="1">
      <alignment horizontal="center" vertical="center"/>
    </xf>
    <xf numFmtId="3" fontId="46" fillId="0" borderId="3" xfId="0" applyNumberFormat="1" applyFont="1" applyFill="1" applyBorder="1" applyAlignment="1">
      <alignment horizontal="center" vertical="center"/>
    </xf>
    <xf numFmtId="2" fontId="4" fillId="0" borderId="0" xfId="0" applyNumberFormat="1" applyFont="1" applyBorder="1" applyAlignment="1">
      <alignment horizontal="center" vertical="center"/>
    </xf>
    <xf numFmtId="174" fontId="4" fillId="0" borderId="0" xfId="0" applyNumberFormat="1" applyFont="1" applyBorder="1" applyAlignment="1">
      <alignment horizontal="center" vertical="center"/>
    </xf>
    <xf numFmtId="172" fontId="4" fillId="0" borderId="0" xfId="0" applyNumberFormat="1" applyFont="1" applyBorder="1" applyAlignment="1">
      <alignment horizontal="center" vertical="center"/>
    </xf>
    <xf numFmtId="0" fontId="4" fillId="0" borderId="3" xfId="0" applyFont="1" applyBorder="1" applyAlignment="1">
      <alignment vertical="top" wrapText="1"/>
    </xf>
    <xf numFmtId="1" fontId="2" fillId="0" borderId="0" xfId="0" applyNumberFormat="1" applyFont="1" applyFill="1" applyBorder="1" applyAlignment="1">
      <alignment horizontal="center" vertical="center"/>
    </xf>
    <xf numFmtId="0" fontId="4" fillId="3" borderId="12" xfId="0" applyFont="1" applyFill="1" applyBorder="1" applyAlignment="1">
      <alignment vertical="center"/>
    </xf>
    <xf numFmtId="0" fontId="9" fillId="0" borderId="38" xfId="0" applyFont="1" applyBorder="1" applyAlignment="1">
      <alignment wrapText="1"/>
    </xf>
    <xf numFmtId="0" fontId="4" fillId="0" borderId="38" xfId="0" applyFont="1" applyBorder="1" applyAlignment="1">
      <alignment vertical="top"/>
    </xf>
    <xf numFmtId="0" fontId="4" fillId="0" borderId="38" xfId="0" applyFont="1" applyBorder="1" applyAlignment="1">
      <alignment horizontal="right" vertical="top"/>
    </xf>
    <xf numFmtId="0" fontId="2" fillId="0" borderId="38" xfId="0" applyFont="1" applyBorder="1" applyAlignment="1">
      <alignment horizontal="right" vertical="top"/>
    </xf>
    <xf numFmtId="0" fontId="9" fillId="0" borderId="38" xfId="0" applyFont="1" applyFill="1" applyBorder="1" applyAlignment="1">
      <alignment vertical="center"/>
    </xf>
    <xf numFmtId="0" fontId="4" fillId="0" borderId="38" xfId="0" applyFont="1" applyFill="1" applyBorder="1" applyAlignment="1">
      <alignment horizontal="right" vertical="top"/>
    </xf>
    <xf numFmtId="0" fontId="9" fillId="0" borderId="38" xfId="0" applyFont="1" applyBorder="1" applyAlignment="1">
      <alignment vertical="top" wrapText="1"/>
    </xf>
    <xf numFmtId="0" fontId="9" fillId="0" borderId="38" xfId="0" applyFont="1" applyFill="1" applyBorder="1" applyAlignment="1"/>
    <xf numFmtId="0" fontId="9" fillId="0" borderId="38" xfId="0" applyFont="1" applyFill="1" applyBorder="1" applyAlignment="1">
      <alignment vertical="top"/>
    </xf>
    <xf numFmtId="0" fontId="9" fillId="0" borderId="38" xfId="0" applyFont="1" applyBorder="1" applyAlignment="1">
      <alignment vertical="center"/>
    </xf>
    <xf numFmtId="14" fontId="4" fillId="0" borderId="38" xfId="0" applyNumberFormat="1" applyFont="1" applyBorder="1" applyAlignment="1">
      <alignment horizontal="center" vertical="top"/>
    </xf>
    <xf numFmtId="14" fontId="4" fillId="0" borderId="38" xfId="0" applyNumberFormat="1" applyFont="1" applyFill="1" applyBorder="1" applyAlignment="1">
      <alignment horizontal="center" vertical="top"/>
    </xf>
    <xf numFmtId="14" fontId="2" fillId="0" borderId="38" xfId="0" applyNumberFormat="1" applyFont="1" applyBorder="1" applyAlignment="1">
      <alignment horizontal="center" vertical="top"/>
    </xf>
    <xf numFmtId="0" fontId="9" fillId="0" borderId="38" xfId="0" applyFont="1" applyBorder="1" applyAlignment="1">
      <alignment vertical="top"/>
    </xf>
    <xf numFmtId="0" fontId="9" fillId="0" borderId="38" xfId="0" applyFont="1" applyBorder="1" applyAlignment="1"/>
    <xf numFmtId="14" fontId="2" fillId="0" borderId="38" xfId="0" applyNumberFormat="1" applyFont="1" applyBorder="1" applyAlignment="1">
      <alignment horizontal="left" vertical="top"/>
    </xf>
    <xf numFmtId="0" fontId="2" fillId="0" borderId="38" xfId="0" applyFont="1" applyBorder="1" applyAlignment="1">
      <alignment horizontal="right" vertical="center"/>
    </xf>
    <xf numFmtId="0" fontId="9" fillId="0" borderId="38" xfId="0" applyFont="1" applyFill="1" applyBorder="1" applyAlignment="1">
      <alignment vertical="center" wrapText="1"/>
    </xf>
    <xf numFmtId="0" fontId="9" fillId="0" borderId="38" xfId="0" applyFont="1" applyFill="1" applyBorder="1" applyAlignment="1">
      <alignment vertical="top" wrapText="1"/>
    </xf>
    <xf numFmtId="0" fontId="2" fillId="0" borderId="0" xfId="0" applyFont="1" applyAlignment="1">
      <alignment horizontal="right" vertical="top"/>
    </xf>
    <xf numFmtId="0" fontId="4" fillId="0" borderId="38" xfId="0" applyFont="1" applyFill="1" applyBorder="1" applyAlignment="1">
      <alignment horizontal="right"/>
    </xf>
    <xf numFmtId="14" fontId="2" fillId="0" borderId="14" xfId="0" applyNumberFormat="1" applyFont="1" applyBorder="1" applyAlignment="1">
      <alignment vertical="center"/>
    </xf>
    <xf numFmtId="0" fontId="9" fillId="0" borderId="38" xfId="0" applyFont="1" applyBorder="1" applyAlignment="1" applyProtection="1">
      <protection hidden="1"/>
    </xf>
    <xf numFmtId="1" fontId="4" fillId="0" borderId="38" xfId="0" applyNumberFormat="1" applyFont="1" applyFill="1" applyBorder="1" applyAlignment="1">
      <alignment horizontal="right" vertical="top"/>
    </xf>
    <xf numFmtId="0" fontId="9" fillId="0" borderId="38" xfId="0" applyFont="1" applyFill="1" applyBorder="1" applyAlignment="1">
      <alignment wrapText="1"/>
    </xf>
    <xf numFmtId="1" fontId="4" fillId="0" borderId="38" xfId="0" applyNumberFormat="1" applyFont="1" applyFill="1" applyBorder="1" applyAlignment="1">
      <alignment horizontal="right" vertical="center"/>
    </xf>
    <xf numFmtId="14" fontId="19" fillId="0" borderId="14" xfId="0" applyNumberFormat="1" applyFont="1" applyFill="1" applyBorder="1" applyAlignment="1">
      <alignment vertical="center"/>
    </xf>
    <xf numFmtId="14" fontId="19" fillId="0" borderId="14" xfId="0" applyNumberFormat="1" applyFont="1" applyBorder="1" applyAlignment="1" applyProtection="1">
      <alignment horizontal="center" vertical="center"/>
      <protection hidden="1"/>
    </xf>
    <xf numFmtId="0" fontId="4" fillId="0" borderId="38" xfId="0" applyFont="1" applyBorder="1" applyAlignment="1">
      <alignment horizontal="right" vertical="center"/>
    </xf>
    <xf numFmtId="0" fontId="9" fillId="0" borderId="38" xfId="0" applyFont="1" applyBorder="1" applyAlignment="1">
      <alignment vertical="center" wrapText="1"/>
    </xf>
    <xf numFmtId="2" fontId="9" fillId="0" borderId="38" xfId="0" applyNumberFormat="1" applyFont="1" applyFill="1" applyBorder="1" applyAlignment="1">
      <alignment vertical="top"/>
    </xf>
    <xf numFmtId="0" fontId="4" fillId="0" borderId="38" xfId="3" applyNumberFormat="1" applyFont="1" applyFill="1" applyBorder="1" applyAlignment="1" applyProtection="1">
      <alignment horizontal="right" vertical="top"/>
    </xf>
    <xf numFmtId="0" fontId="4" fillId="0" borderId="38" xfId="0" applyFont="1" applyBorder="1" applyAlignment="1" applyProtection="1">
      <alignment horizontal="right" vertical="top"/>
      <protection hidden="1"/>
    </xf>
    <xf numFmtId="14" fontId="4" fillId="0" borderId="38" xfId="0" applyNumberFormat="1" applyFont="1" applyBorder="1" applyAlignment="1" applyProtection="1">
      <alignment horizontal="center" vertical="top"/>
      <protection hidden="1"/>
    </xf>
    <xf numFmtId="14" fontId="2" fillId="0" borderId="0" xfId="0" applyNumberFormat="1" applyFont="1" applyFill="1" applyAlignment="1">
      <alignment horizontal="center"/>
    </xf>
    <xf numFmtId="2" fontId="4" fillId="0" borderId="3" xfId="0" applyNumberFormat="1" applyFont="1" applyBorder="1" applyAlignment="1">
      <alignment horizontal="center" vertical="center"/>
    </xf>
    <xf numFmtId="0" fontId="19" fillId="2" borderId="22" xfId="0" applyFont="1" applyFill="1" applyBorder="1" applyAlignment="1">
      <alignment horizontal="center" vertical="center"/>
    </xf>
    <xf numFmtId="4" fontId="19" fillId="0" borderId="3" xfId="0" applyNumberFormat="1" applyFont="1" applyFill="1" applyBorder="1" applyAlignment="1">
      <alignment horizontal="center" vertical="center" wrapText="1"/>
    </xf>
    <xf numFmtId="14" fontId="4" fillId="0" borderId="38" xfId="0" applyNumberFormat="1" applyFont="1" applyFill="1" applyBorder="1" applyAlignment="1">
      <alignment horizontal="center"/>
    </xf>
    <xf numFmtId="2" fontId="19" fillId="0" borderId="3" xfId="0" applyNumberFormat="1" applyFont="1" applyFill="1" applyBorder="1" applyAlignment="1" applyProtection="1">
      <alignment horizontal="center" vertical="center" wrapText="1"/>
      <protection hidden="1"/>
    </xf>
    <xf numFmtId="0" fontId="2" fillId="0" borderId="5" xfId="0" applyFont="1" applyBorder="1" applyAlignment="1">
      <alignment vertical="center" wrapText="1"/>
    </xf>
    <xf numFmtId="0" fontId="2" fillId="0" borderId="10" xfId="0" applyFont="1" applyBorder="1" applyAlignment="1">
      <alignment vertical="center" wrapText="1"/>
    </xf>
    <xf numFmtId="0" fontId="2" fillId="0" borderId="12" xfId="0" applyFont="1" applyBorder="1" applyAlignment="1">
      <alignment vertical="center" wrapText="1"/>
    </xf>
    <xf numFmtId="0" fontId="4" fillId="0" borderId="38" xfId="0" applyFont="1" applyBorder="1"/>
    <xf numFmtId="0" fontId="19" fillId="0" borderId="5" xfId="0" applyFont="1" applyFill="1" applyBorder="1" applyAlignment="1">
      <alignment vertical="center"/>
    </xf>
    <xf numFmtId="0" fontId="19" fillId="0" borderId="3" xfId="0" applyFont="1" applyBorder="1"/>
    <xf numFmtId="0" fontId="19" fillId="0" borderId="3" xfId="0" applyFont="1" applyFill="1" applyBorder="1"/>
    <xf numFmtId="0" fontId="4" fillId="0" borderId="4" xfId="0" applyFont="1" applyFill="1" applyBorder="1" applyAlignment="1" applyProtection="1">
      <alignment vertical="center"/>
      <protection hidden="1"/>
    </xf>
    <xf numFmtId="9" fontId="4" fillId="0" borderId="0" xfId="0" applyNumberFormat="1" applyFont="1" applyBorder="1" applyAlignment="1" applyProtection="1">
      <alignment horizontal="center" vertical="center"/>
      <protection hidden="1"/>
    </xf>
    <xf numFmtId="9" fontId="4" fillId="0" borderId="0" xfId="0" applyNumberFormat="1"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0" fontId="19" fillId="0" borderId="0" xfId="0" applyFont="1" applyFill="1" applyBorder="1" applyAlignment="1" applyProtection="1">
      <alignment vertical="center" wrapText="1"/>
      <protection hidden="1"/>
    </xf>
    <xf numFmtId="14" fontId="19" fillId="0" borderId="14" xfId="0" applyNumberFormat="1" applyFont="1" applyBorder="1" applyAlignment="1">
      <alignment vertical="top" wrapText="1"/>
    </xf>
    <xf numFmtId="4" fontId="4" fillId="0" borderId="3" xfId="0" applyNumberFormat="1" applyFont="1" applyFill="1" applyBorder="1" applyAlignment="1" applyProtection="1">
      <alignment horizontal="center" vertical="center" wrapText="1"/>
      <protection hidden="1"/>
    </xf>
    <xf numFmtId="4" fontId="19" fillId="0" borderId="3" xfId="0" applyNumberFormat="1" applyFont="1" applyFill="1" applyBorder="1" applyAlignment="1" applyProtection="1">
      <alignment horizontal="center" vertical="center" wrapText="1"/>
      <protection hidden="1"/>
    </xf>
    <xf numFmtId="0" fontId="13" fillId="0" borderId="3" xfId="0" applyNumberFormat="1" applyFont="1" applyBorder="1" applyAlignment="1">
      <alignment horizontal="center" vertical="center" wrapText="1"/>
    </xf>
    <xf numFmtId="0" fontId="50" fillId="0" borderId="0" xfId="0" applyFont="1" applyAlignment="1"/>
    <xf numFmtId="0" fontId="4" fillId="0" borderId="32" xfId="0" applyFont="1" applyFill="1" applyBorder="1" applyAlignment="1">
      <alignment horizontal="center" vertical="center" wrapText="1"/>
    </xf>
    <xf numFmtId="9" fontId="4" fillId="0" borderId="4" xfId="0" applyNumberFormat="1" applyFont="1" applyFill="1" applyBorder="1" applyAlignment="1">
      <alignment horizontal="center" vertical="center"/>
    </xf>
    <xf numFmtId="0" fontId="4" fillId="0" borderId="22" xfId="0" applyFont="1" applyFill="1" applyBorder="1" applyAlignment="1">
      <alignment horizontal="center" vertical="center"/>
    </xf>
    <xf numFmtId="0" fontId="4" fillId="2" borderId="5" xfId="0" applyNumberFormat="1" applyFont="1" applyFill="1" applyBorder="1" applyAlignment="1">
      <alignment horizontal="center" vertical="center" wrapText="1"/>
    </xf>
    <xf numFmtId="0" fontId="19" fillId="2" borderId="4" xfId="0" applyFont="1" applyFill="1" applyBorder="1" applyAlignment="1">
      <alignment horizontal="centerContinuous" vertical="center"/>
    </xf>
    <xf numFmtId="0" fontId="19" fillId="2" borderId="6" xfId="0" applyFont="1" applyFill="1" applyBorder="1" applyAlignment="1">
      <alignment horizontal="centerContinuous" vertical="center"/>
    </xf>
    <xf numFmtId="0" fontId="19" fillId="2" borderId="7" xfId="0" applyFont="1" applyFill="1" applyBorder="1" applyAlignment="1">
      <alignment horizontal="centerContinuous" vertical="center"/>
    </xf>
    <xf numFmtId="0" fontId="19" fillId="2" borderId="4" xfId="0" applyNumberFormat="1" applyFont="1" applyFill="1" applyBorder="1" applyAlignment="1">
      <alignment horizontal="centerContinuous" vertical="center"/>
    </xf>
    <xf numFmtId="0" fontId="19" fillId="2" borderId="6" xfId="0" applyNumberFormat="1" applyFont="1" applyFill="1" applyBorder="1" applyAlignment="1">
      <alignment horizontal="centerContinuous" vertical="center"/>
    </xf>
    <xf numFmtId="0" fontId="19" fillId="2" borderId="7" xfId="0" applyNumberFormat="1" applyFont="1" applyFill="1" applyBorder="1" applyAlignment="1">
      <alignment horizontal="centerContinuous" vertical="center"/>
    </xf>
    <xf numFmtId="0" fontId="0" fillId="2" borderId="6" xfId="0" applyFill="1" applyBorder="1" applyAlignment="1">
      <alignment horizontal="centerContinuous" vertical="center"/>
    </xf>
    <xf numFmtId="0" fontId="0" fillId="2" borderId="7" xfId="0" applyFill="1" applyBorder="1" applyAlignment="1">
      <alignment horizontal="centerContinuous" vertical="center"/>
    </xf>
    <xf numFmtId="0" fontId="19" fillId="4" borderId="4" xfId="0" applyFont="1" applyFill="1" applyBorder="1" applyAlignment="1">
      <alignment horizontal="centerContinuous" vertical="center" wrapText="1"/>
    </xf>
    <xf numFmtId="0" fontId="19" fillId="4" borderId="6" xfId="0" applyFont="1" applyFill="1" applyBorder="1" applyAlignment="1">
      <alignment horizontal="centerContinuous" vertical="center" wrapText="1"/>
    </xf>
    <xf numFmtId="0" fontId="19" fillId="4" borderId="7" xfId="0" applyFont="1" applyFill="1" applyBorder="1" applyAlignment="1">
      <alignment horizontal="centerContinuous" vertical="center" wrapText="1"/>
    </xf>
    <xf numFmtId="1" fontId="19" fillId="2" borderId="4" xfId="0" applyNumberFormat="1" applyFont="1" applyFill="1" applyBorder="1" applyAlignment="1">
      <alignment horizontal="centerContinuous" vertical="center"/>
    </xf>
    <xf numFmtId="1" fontId="19" fillId="2" borderId="6" xfId="0" applyNumberFormat="1" applyFont="1" applyFill="1" applyBorder="1" applyAlignment="1">
      <alignment horizontal="centerContinuous" vertical="center"/>
    </xf>
    <xf numFmtId="1" fontId="19" fillId="2" borderId="7" xfId="0" applyNumberFormat="1" applyFont="1" applyFill="1" applyBorder="1" applyAlignment="1">
      <alignment horizontal="centerContinuous" vertical="center"/>
    </xf>
    <xf numFmtId="0" fontId="2" fillId="0" borderId="38" xfId="0" applyFont="1" applyFill="1" applyBorder="1" applyAlignment="1">
      <alignment horizontal="right" vertical="top"/>
    </xf>
    <xf numFmtId="0" fontId="4" fillId="3" borderId="12" xfId="0" applyFont="1" applyFill="1" applyBorder="1" applyAlignment="1">
      <alignment horizontal="center" vertical="center"/>
    </xf>
    <xf numFmtId="0" fontId="19" fillId="0" borderId="0" xfId="0" applyFont="1" applyBorder="1" applyAlignment="1">
      <alignment horizontal="centerContinuous" vertical="center"/>
    </xf>
    <xf numFmtId="0" fontId="19" fillId="0" borderId="0" xfId="0" applyFont="1" applyAlignment="1">
      <alignment horizontal="centerContinuous"/>
    </xf>
    <xf numFmtId="0" fontId="2" fillId="0" borderId="0" xfId="0" applyFont="1" applyBorder="1" applyAlignment="1">
      <alignment vertical="center" wrapText="1"/>
    </xf>
    <xf numFmtId="0" fontId="19" fillId="0" borderId="12" xfId="0" applyFont="1" applyBorder="1" applyAlignment="1">
      <alignment vertical="top"/>
    </xf>
    <xf numFmtId="0" fontId="13" fillId="0" borderId="3" xfId="0" applyFont="1" applyFill="1" applyBorder="1" applyAlignment="1">
      <alignment horizontal="left" vertical="center" wrapText="1"/>
    </xf>
    <xf numFmtId="0" fontId="19" fillId="2" borderId="7" xfId="0" applyFont="1" applyFill="1" applyBorder="1" applyAlignment="1">
      <alignment horizontal="center" vertical="center"/>
    </xf>
    <xf numFmtId="0" fontId="19" fillId="4" borderId="4" xfId="0" applyFont="1" applyFill="1" applyBorder="1" applyAlignment="1">
      <alignment horizontal="center" vertical="center"/>
    </xf>
    <xf numFmtId="2" fontId="4" fillId="2" borderId="3" xfId="0" applyNumberFormat="1"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1" xfId="0" applyFont="1" applyFill="1" applyBorder="1" applyAlignment="1">
      <alignment horizontal="left" vertical="center"/>
    </xf>
    <xf numFmtId="0" fontId="4" fillId="2" borderId="0" xfId="0" applyFont="1" applyFill="1" applyBorder="1" applyAlignment="1">
      <alignment horizontal="left" vertical="center"/>
    </xf>
    <xf numFmtId="0" fontId="4" fillId="2" borderId="32" xfId="0" applyFont="1" applyFill="1" applyBorder="1" applyAlignment="1">
      <alignment horizontal="left" vertical="center"/>
    </xf>
    <xf numFmtId="0" fontId="19" fillId="2" borderId="15" xfId="0" applyFont="1" applyFill="1" applyBorder="1" applyAlignment="1">
      <alignment horizontal="center" vertical="center"/>
    </xf>
    <xf numFmtId="4" fontId="4" fillId="0" borderId="5" xfId="0" applyNumberFormat="1" applyFont="1" applyFill="1" applyBorder="1" applyAlignment="1">
      <alignment horizontal="center" vertical="center"/>
    </xf>
    <xf numFmtId="0" fontId="4" fillId="0" borderId="13" xfId="0" applyFont="1" applyFill="1" applyBorder="1" applyAlignment="1">
      <alignment horizontal="left" vertical="center"/>
    </xf>
    <xf numFmtId="0" fontId="19" fillId="2" borderId="3" xfId="0" applyFont="1" applyFill="1" applyBorder="1" applyAlignment="1" applyProtection="1">
      <alignment horizontal="center" vertical="center" wrapText="1"/>
      <protection locked="0"/>
    </xf>
    <xf numFmtId="0" fontId="19" fillId="0" borderId="6" xfId="0" applyFont="1" applyFill="1" applyBorder="1" applyAlignment="1">
      <alignment horizontal="right"/>
    </xf>
    <xf numFmtId="0" fontId="29" fillId="0" borderId="0" xfId="0" applyNumberFormat="1" applyFont="1" applyFill="1" applyBorder="1" applyAlignment="1">
      <alignment horizontal="center" vertical="center"/>
    </xf>
    <xf numFmtId="3" fontId="2" fillId="0" borderId="3" xfId="0" applyNumberFormat="1" applyFont="1" applyFill="1" applyBorder="1" applyAlignment="1">
      <alignment horizontal="center" vertical="center"/>
    </xf>
    <xf numFmtId="14" fontId="19" fillId="0" borderId="38" xfId="0" applyNumberFormat="1" applyFont="1" applyBorder="1" applyAlignment="1">
      <alignment horizontal="center" vertical="center" wrapText="1"/>
    </xf>
    <xf numFmtId="0" fontId="2" fillId="0" borderId="14" xfId="0" applyFont="1" applyBorder="1" applyAlignment="1">
      <alignment horizontal="right" vertical="center"/>
    </xf>
    <xf numFmtId="14" fontId="19" fillId="0" borderId="14" xfId="0" applyNumberFormat="1" applyFont="1" applyBorder="1" applyAlignment="1">
      <alignment horizontal="center" vertical="center" wrapText="1"/>
    </xf>
    <xf numFmtId="0" fontId="2" fillId="0" borderId="0" xfId="0" applyFont="1" applyFill="1" applyBorder="1" applyAlignment="1">
      <alignment vertical="center"/>
    </xf>
    <xf numFmtId="0" fontId="52" fillId="2" borderId="4" xfId="0" applyNumberFormat="1" applyFont="1" applyFill="1" applyBorder="1" applyAlignment="1" applyProtection="1">
      <alignment vertical="center"/>
    </xf>
    <xf numFmtId="0" fontId="53" fillId="0" borderId="4" xfId="0" applyNumberFormat="1" applyFont="1" applyFill="1" applyBorder="1" applyAlignment="1" applyProtection="1">
      <alignment vertical="center"/>
    </xf>
    <xf numFmtId="0" fontId="0" fillId="0" borderId="3" xfId="0" applyBorder="1" applyAlignment="1">
      <alignment vertical="center"/>
    </xf>
    <xf numFmtId="0" fontId="53" fillId="0" borderId="3" xfId="0" applyNumberFormat="1" applyFont="1" applyFill="1" applyBorder="1" applyAlignment="1" applyProtection="1">
      <alignment horizontal="center" vertical="center"/>
    </xf>
    <xf numFmtId="0" fontId="53" fillId="0" borderId="3" xfId="0" applyNumberFormat="1" applyFont="1" applyFill="1" applyBorder="1" applyAlignment="1" applyProtection="1">
      <alignment vertical="center"/>
    </xf>
    <xf numFmtId="0" fontId="53" fillId="0" borderId="3" xfId="0" applyNumberFormat="1" applyFont="1" applyFill="1" applyBorder="1" applyAlignment="1" applyProtection="1">
      <alignment vertical="center" wrapText="1"/>
    </xf>
    <xf numFmtId="0" fontId="53" fillId="0" borderId="5" xfId="0" applyNumberFormat="1" applyFont="1" applyFill="1" applyBorder="1" applyAlignment="1" applyProtection="1">
      <alignment horizontal="center" vertical="center"/>
    </xf>
    <xf numFmtId="2" fontId="53" fillId="0" borderId="3" xfId="0" applyNumberFormat="1" applyFont="1" applyFill="1" applyBorder="1" applyAlignment="1" applyProtection="1">
      <alignment horizontal="center" vertical="center" wrapText="1"/>
    </xf>
    <xf numFmtId="2" fontId="53" fillId="0" borderId="3" xfId="0" applyNumberFormat="1" applyFont="1" applyFill="1" applyBorder="1" applyAlignment="1" applyProtection="1">
      <alignment horizontal="center" vertical="center"/>
    </xf>
    <xf numFmtId="0" fontId="0" fillId="0" borderId="3" xfId="0" applyBorder="1" applyAlignment="1">
      <alignment vertical="center" wrapText="1"/>
    </xf>
    <xf numFmtId="2" fontId="53" fillId="0" borderId="12" xfId="0" applyNumberFormat="1" applyFont="1" applyFill="1" applyBorder="1" applyAlignment="1" applyProtection="1">
      <alignment horizontal="center" vertical="center" wrapText="1"/>
    </xf>
    <xf numFmtId="0" fontId="52" fillId="4" borderId="4" xfId="0" applyNumberFormat="1" applyFont="1" applyFill="1" applyBorder="1" applyAlignment="1" applyProtection="1">
      <alignment vertical="center"/>
    </xf>
    <xf numFmtId="0" fontId="53" fillId="2"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xf>
    <xf numFmtId="0" fontId="53" fillId="0" borderId="12" xfId="0" applyNumberFormat="1" applyFont="1" applyFill="1" applyBorder="1" applyAlignment="1" applyProtection="1">
      <alignment horizontal="left" vertical="center" wrapText="1"/>
    </xf>
    <xf numFmtId="0" fontId="2" fillId="0" borderId="12" xfId="0" applyFont="1" applyFill="1" applyBorder="1" applyAlignment="1">
      <alignment horizontal="center" vertical="center"/>
    </xf>
    <xf numFmtId="2" fontId="53" fillId="0" borderId="5" xfId="0" applyNumberFormat="1" applyFont="1" applyFill="1" applyBorder="1" applyAlignment="1" applyProtection="1">
      <alignment horizontal="center" vertical="center"/>
    </xf>
    <xf numFmtId="0" fontId="58" fillId="3" borderId="4" xfId="0" applyNumberFormat="1" applyFont="1" applyFill="1" applyBorder="1" applyAlignment="1" applyProtection="1">
      <alignment vertical="center"/>
    </xf>
    <xf numFmtId="2" fontId="58" fillId="3" borderId="5" xfId="0" applyNumberFormat="1" applyFont="1" applyFill="1" applyBorder="1" applyAlignment="1" applyProtection="1">
      <alignment horizontal="center" vertical="center"/>
    </xf>
    <xf numFmtId="0" fontId="58" fillId="3" borderId="5" xfId="0" applyNumberFormat="1" applyFont="1" applyFill="1" applyBorder="1" applyAlignment="1" applyProtection="1">
      <alignment horizontal="center" vertical="center" wrapText="1"/>
    </xf>
    <xf numFmtId="2" fontId="58" fillId="0" borderId="3" xfId="0" applyNumberFormat="1" applyFont="1" applyFill="1" applyBorder="1" applyAlignment="1" applyProtection="1">
      <alignment horizontal="center" vertical="center"/>
    </xf>
    <xf numFmtId="0" fontId="58" fillId="0" borderId="3" xfId="0" applyNumberFormat="1" applyFont="1" applyFill="1" applyBorder="1" applyAlignment="1" applyProtection="1">
      <alignment horizontal="center" vertical="center" wrapText="1"/>
    </xf>
    <xf numFmtId="0" fontId="2" fillId="0" borderId="46" xfId="0" applyFont="1" applyBorder="1"/>
    <xf numFmtId="0" fontId="2" fillId="0" borderId="47" xfId="0" applyFont="1" applyBorder="1"/>
    <xf numFmtId="0" fontId="4" fillId="0" borderId="3" xfId="0" applyFont="1" applyFill="1" applyBorder="1" applyAlignment="1">
      <alignment horizontal="center"/>
    </xf>
    <xf numFmtId="2" fontId="4" fillId="0" borderId="5" xfId="0" applyNumberFormat="1" applyFont="1" applyFill="1" applyBorder="1" applyAlignment="1">
      <alignment horizontal="center" vertical="center" wrapText="1"/>
    </xf>
    <xf numFmtId="2" fontId="4" fillId="0" borderId="12" xfId="0" applyNumberFormat="1" applyFont="1" applyFill="1" applyBorder="1" applyAlignment="1">
      <alignment horizontal="center" vertical="center" wrapText="1"/>
    </xf>
    <xf numFmtId="0" fontId="20" fillId="0" borderId="0" xfId="0" applyFont="1" applyBorder="1" applyAlignment="1">
      <alignment vertical="center"/>
    </xf>
    <xf numFmtId="2" fontId="4" fillId="0" borderId="48" xfId="0" applyNumberFormat="1" applyFont="1" applyFill="1" applyBorder="1" applyAlignment="1">
      <alignment horizontal="center" vertical="center" wrapText="1"/>
    </xf>
    <xf numFmtId="2" fontId="4" fillId="0" borderId="49" xfId="0" applyNumberFormat="1" applyFont="1" applyFill="1" applyBorder="1" applyAlignment="1">
      <alignment horizontal="center" vertical="center" wrapText="1"/>
    </xf>
    <xf numFmtId="14" fontId="4" fillId="0" borderId="38" xfId="0" applyNumberFormat="1" applyFont="1" applyBorder="1" applyAlignment="1">
      <alignment vertical="top"/>
    </xf>
    <xf numFmtId="14" fontId="19" fillId="0" borderId="34" xfId="0" applyNumberFormat="1" applyFont="1" applyBorder="1" applyAlignment="1">
      <alignment vertical="top" wrapText="1"/>
    </xf>
    <xf numFmtId="3" fontId="13" fillId="0" borderId="3" xfId="0" applyNumberFormat="1" applyFont="1" applyBorder="1" applyAlignment="1">
      <alignment horizontal="center" vertical="center" wrapText="1"/>
    </xf>
    <xf numFmtId="4" fontId="4" fillId="0" borderId="7" xfId="0" applyNumberFormat="1" applyFont="1" applyFill="1" applyBorder="1" applyAlignment="1">
      <alignment horizontal="center" vertical="center" wrapText="1"/>
    </xf>
    <xf numFmtId="0" fontId="4" fillId="3" borderId="12" xfId="0" applyFont="1" applyFill="1" applyBorder="1" applyAlignment="1">
      <alignment vertical="center" wrapText="1"/>
    </xf>
    <xf numFmtId="0" fontId="19" fillId="0" borderId="4" xfId="0" applyFont="1" applyFill="1" applyBorder="1" applyAlignment="1">
      <alignment horizontal="centerContinuous" vertical="center"/>
    </xf>
    <xf numFmtId="0" fontId="19" fillId="0" borderId="6" xfId="0" applyFont="1" applyFill="1" applyBorder="1" applyAlignment="1">
      <alignment horizontal="centerContinuous" vertical="center"/>
    </xf>
    <xf numFmtId="0" fontId="19" fillId="0" borderId="7" xfId="0" applyFont="1" applyFill="1" applyBorder="1" applyAlignment="1">
      <alignment horizontal="centerContinuous" vertical="center"/>
    </xf>
    <xf numFmtId="0" fontId="4" fillId="2" borderId="5" xfId="0" applyFont="1" applyFill="1" applyBorder="1" applyAlignment="1">
      <alignment vertical="center"/>
    </xf>
    <xf numFmtId="0" fontId="4" fillId="2" borderId="10" xfId="0" applyFont="1" applyFill="1" applyBorder="1" applyAlignment="1">
      <alignment vertical="center"/>
    </xf>
    <xf numFmtId="14" fontId="4" fillId="0" borderId="0" xfId="0" applyNumberFormat="1" applyFont="1"/>
    <xf numFmtId="14" fontId="4" fillId="0" borderId="0" xfId="0" applyNumberFormat="1" applyFont="1" applyFill="1"/>
    <xf numFmtId="0" fontId="0" fillId="0" borderId="38" xfId="0" applyBorder="1" applyAlignment="1">
      <alignment vertical="top"/>
    </xf>
    <xf numFmtId="2"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2" fontId="4" fillId="0" borderId="0" xfId="0" applyNumberFormat="1" applyFont="1" applyFill="1" applyBorder="1" applyAlignment="1">
      <alignment horizontal="center" vertical="center"/>
    </xf>
    <xf numFmtId="172" fontId="0" fillId="0" borderId="0" xfId="0" applyNumberFormat="1" applyBorder="1" applyAlignment="1">
      <alignment horizontal="center" vertical="center"/>
    </xf>
    <xf numFmtId="0" fontId="19" fillId="0" borderId="50" xfId="0" applyFont="1" applyBorder="1" applyAlignment="1"/>
    <xf numFmtId="4" fontId="13" fillId="0" borderId="3" xfId="0" applyNumberFormat="1" applyFont="1" applyFill="1" applyBorder="1" applyAlignment="1">
      <alignment horizontal="center" vertical="center" wrapText="1"/>
    </xf>
    <xf numFmtId="0" fontId="19" fillId="2" borderId="4" xfId="0" applyFont="1" applyFill="1" applyBorder="1" applyAlignment="1">
      <alignment horizontal="centerContinuous" vertical="center" wrapText="1"/>
    </xf>
    <xf numFmtId="0" fontId="19" fillId="2" borderId="6" xfId="0" applyFont="1" applyFill="1" applyBorder="1" applyAlignment="1">
      <alignment horizontal="centerContinuous" vertical="center" wrapText="1"/>
    </xf>
    <xf numFmtId="0" fontId="19" fillId="2" borderId="7" xfId="0" applyFont="1" applyFill="1" applyBorder="1" applyAlignment="1">
      <alignment horizontal="centerContinuous" vertical="center" wrapText="1"/>
    </xf>
    <xf numFmtId="4" fontId="0" fillId="2" borderId="7" xfId="0" applyNumberFormat="1" applyFill="1" applyBorder="1" applyAlignment="1">
      <alignment horizontal="centerContinuous"/>
    </xf>
    <xf numFmtId="4" fontId="19" fillId="2" borderId="7" xfId="0" applyNumberFormat="1" applyFont="1" applyFill="1" applyBorder="1" applyAlignment="1">
      <alignment horizontal="centerContinuous" vertical="center" wrapText="1"/>
    </xf>
    <xf numFmtId="0" fontId="19" fillId="2" borderId="4" xfId="0" applyFont="1" applyFill="1" applyBorder="1" applyAlignment="1" applyProtection="1">
      <alignment horizontal="centerContinuous" vertical="center" wrapText="1"/>
      <protection hidden="1"/>
    </xf>
    <xf numFmtId="0" fontId="19" fillId="2" borderId="6" xfId="0" applyFont="1" applyFill="1" applyBorder="1" applyAlignment="1" applyProtection="1">
      <alignment horizontal="centerContinuous" vertical="center" wrapText="1"/>
      <protection hidden="1"/>
    </xf>
    <xf numFmtId="4" fontId="19" fillId="2" borderId="7" xfId="0" applyNumberFormat="1" applyFont="1" applyFill="1" applyBorder="1" applyAlignment="1" applyProtection="1">
      <alignment horizontal="centerContinuous" vertical="center" wrapText="1"/>
      <protection hidden="1"/>
    </xf>
    <xf numFmtId="4" fontId="4" fillId="3" borderId="3" xfId="0" applyNumberFormat="1" applyFont="1" applyFill="1" applyBorder="1" applyAlignment="1">
      <alignment horizontal="center" vertical="center"/>
    </xf>
    <xf numFmtId="4" fontId="4" fillId="3" borderId="3" xfId="0" applyNumberFormat="1" applyFont="1" applyFill="1" applyBorder="1" applyAlignment="1" applyProtection="1">
      <alignment horizontal="center" vertical="center" wrapText="1"/>
      <protection hidden="1"/>
    </xf>
    <xf numFmtId="0" fontId="13" fillId="2" borderId="4" xfId="0" applyFont="1" applyFill="1" applyBorder="1" applyAlignment="1" applyProtection="1">
      <alignment horizontal="centerContinuous" vertical="center" wrapText="1"/>
      <protection hidden="1"/>
    </xf>
    <xf numFmtId="0" fontId="13" fillId="2" borderId="6" xfId="0" applyFont="1" applyFill="1" applyBorder="1" applyAlignment="1" applyProtection="1">
      <alignment horizontal="centerContinuous" vertical="center" wrapText="1"/>
      <protection hidden="1"/>
    </xf>
    <xf numFmtId="4" fontId="13" fillId="2" borderId="7" xfId="0" applyNumberFormat="1" applyFont="1" applyFill="1" applyBorder="1" applyAlignment="1" applyProtection="1">
      <alignment horizontal="centerContinuous" vertical="center" wrapText="1"/>
      <protection hidden="1"/>
    </xf>
    <xf numFmtId="0" fontId="13" fillId="2" borderId="4" xfId="0" applyFont="1" applyFill="1" applyBorder="1" applyAlignment="1">
      <alignment horizontal="centerContinuous" vertical="center" wrapText="1"/>
    </xf>
    <xf numFmtId="0" fontId="13" fillId="2" borderId="6" xfId="0" applyFont="1" applyFill="1" applyBorder="1" applyAlignment="1">
      <alignment horizontal="centerContinuous" vertical="center" wrapText="1"/>
    </xf>
    <xf numFmtId="4" fontId="13" fillId="2" borderId="7" xfId="0" applyNumberFormat="1" applyFont="1" applyFill="1" applyBorder="1" applyAlignment="1">
      <alignment horizontal="centerContinuous" vertical="center" wrapText="1"/>
    </xf>
    <xf numFmtId="0" fontId="13" fillId="2" borderId="4" xfId="0" applyFont="1" applyFill="1" applyBorder="1" applyAlignment="1">
      <alignment horizontal="centerContinuous" vertical="center"/>
    </xf>
    <xf numFmtId="0" fontId="13" fillId="2" borderId="6" xfId="0" applyFont="1" applyFill="1" applyBorder="1" applyAlignment="1">
      <alignment horizontal="centerContinuous" vertical="center"/>
    </xf>
    <xf numFmtId="4" fontId="13" fillId="2" borderId="6" xfId="0" applyNumberFormat="1" applyFont="1" applyFill="1" applyBorder="1" applyAlignment="1">
      <alignment horizontal="centerContinuous" vertical="center"/>
    </xf>
    <xf numFmtId="4" fontId="13" fillId="2" borderId="7" xfId="0" applyNumberFormat="1" applyFont="1" applyFill="1" applyBorder="1" applyAlignment="1">
      <alignment horizontal="centerContinuous" vertical="center"/>
    </xf>
    <xf numFmtId="4" fontId="13" fillId="2" borderId="6" xfId="0" applyNumberFormat="1" applyFont="1" applyFill="1" applyBorder="1" applyAlignment="1">
      <alignment horizontal="centerContinuous" vertical="center" wrapText="1"/>
    </xf>
    <xf numFmtId="49" fontId="4" fillId="0" borderId="3" xfId="12" applyNumberFormat="1" applyFont="1" applyFill="1" applyBorder="1" applyAlignment="1">
      <alignment horizontal="center" vertical="center"/>
    </xf>
    <xf numFmtId="4" fontId="13" fillId="0" borderId="3" xfId="0" applyNumberFormat="1" applyFont="1" applyFill="1" applyBorder="1" applyAlignment="1">
      <alignment horizontal="center" vertical="center"/>
    </xf>
    <xf numFmtId="0" fontId="19" fillId="5" borderId="7" xfId="0" applyFont="1" applyFill="1" applyBorder="1" applyAlignment="1">
      <alignment horizontal="center" vertical="center" wrapText="1"/>
    </xf>
    <xf numFmtId="0" fontId="19" fillId="2" borderId="5" xfId="0" applyFont="1" applyFill="1" applyBorder="1" applyAlignment="1">
      <alignment horizontal="center" vertical="center"/>
    </xf>
    <xf numFmtId="14" fontId="19" fillId="0" borderId="34" xfId="0" applyNumberFormat="1" applyFont="1" applyBorder="1" applyAlignment="1">
      <alignment vertical="center"/>
    </xf>
    <xf numFmtId="3" fontId="19" fillId="0" borderId="3" xfId="0" applyNumberFormat="1" applyFont="1" applyBorder="1" applyAlignment="1">
      <alignment horizontal="center" vertical="center"/>
    </xf>
    <xf numFmtId="4" fontId="19" fillId="0" borderId="0" xfId="0" applyNumberFormat="1" applyFont="1" applyFill="1" applyBorder="1" applyAlignment="1">
      <alignment horizontal="center" vertical="center"/>
    </xf>
    <xf numFmtId="4" fontId="19" fillId="0" borderId="0" xfId="0" applyNumberFormat="1" applyFont="1" applyFill="1" applyBorder="1" applyAlignment="1">
      <alignment vertical="center" wrapText="1"/>
    </xf>
    <xf numFmtId="4" fontId="13" fillId="0" borderId="0" xfId="0" applyNumberFormat="1" applyFont="1" applyFill="1" applyBorder="1" applyAlignment="1">
      <alignment horizontal="center" vertical="center" wrapText="1"/>
    </xf>
    <xf numFmtId="0" fontId="13" fillId="0" borderId="0" xfId="0" applyFont="1" applyFill="1" applyBorder="1" applyAlignment="1">
      <alignment horizontal="center" vertical="center"/>
    </xf>
    <xf numFmtId="4" fontId="19" fillId="0" borderId="3" xfId="0" applyNumberFormat="1" applyFont="1" applyFill="1" applyBorder="1" applyAlignment="1">
      <alignment horizontal="right" vertical="center"/>
    </xf>
    <xf numFmtId="4" fontId="19" fillId="0" borderId="3" xfId="0" applyNumberFormat="1" applyFont="1" applyFill="1" applyBorder="1" applyAlignment="1">
      <alignment horizontal="right" vertical="center" wrapText="1"/>
    </xf>
    <xf numFmtId="0" fontId="0" fillId="0" borderId="0" xfId="0" applyBorder="1" applyAlignment="1"/>
    <xf numFmtId="2" fontId="19" fillId="0" borderId="3" xfId="0" applyNumberFormat="1" applyFont="1" applyFill="1" applyBorder="1" applyAlignment="1">
      <alignment vertical="center"/>
    </xf>
    <xf numFmtId="0" fontId="11" fillId="0" borderId="0" xfId="0" applyFont="1" applyBorder="1"/>
    <xf numFmtId="0" fontId="11" fillId="0" borderId="0" xfId="0" applyFont="1" applyAlignment="1">
      <alignment vertical="center"/>
    </xf>
    <xf numFmtId="0" fontId="9" fillId="0" borderId="38" xfId="0" applyFont="1" applyBorder="1" applyAlignment="1" applyProtection="1">
      <alignment vertical="top"/>
      <protection hidden="1"/>
    </xf>
    <xf numFmtId="3" fontId="4" fillId="0" borderId="25" xfId="0" applyNumberFormat="1" applyFont="1" applyFill="1" applyBorder="1" applyAlignment="1">
      <alignment horizontal="center" vertical="center"/>
    </xf>
    <xf numFmtId="3" fontId="4" fillId="0" borderId="31" xfId="0" applyNumberFormat="1" applyFont="1" applyFill="1" applyBorder="1" applyAlignment="1">
      <alignment horizontal="center" vertical="center"/>
    </xf>
    <xf numFmtId="3" fontId="4" fillId="0" borderId="25" xfId="0" applyNumberFormat="1" applyFont="1" applyFill="1" applyBorder="1" applyAlignment="1">
      <alignment horizontal="center"/>
    </xf>
    <xf numFmtId="0" fontId="4" fillId="2" borderId="0" xfId="0" applyFont="1" applyFill="1" applyBorder="1" applyAlignment="1">
      <alignment horizontal="right" vertical="center" wrapText="1"/>
    </xf>
    <xf numFmtId="0" fontId="19" fillId="4" borderId="3" xfId="0" applyFont="1" applyFill="1" applyBorder="1" applyAlignment="1">
      <alignment vertical="center"/>
    </xf>
    <xf numFmtId="0" fontId="2" fillId="0" borderId="0" xfId="0" applyFont="1" applyAlignment="1">
      <alignment vertical="center" wrapText="1"/>
    </xf>
    <xf numFmtId="0" fontId="53" fillId="0" borderId="7" xfId="0" applyNumberFormat="1" applyFont="1" applyFill="1" applyBorder="1" applyAlignment="1" applyProtection="1">
      <alignment vertical="center" wrapText="1"/>
    </xf>
    <xf numFmtId="172" fontId="53" fillId="0" borderId="3" xfId="0" applyNumberFormat="1" applyFont="1" applyFill="1" applyBorder="1" applyAlignment="1" applyProtection="1">
      <alignment horizontal="center" vertical="center"/>
    </xf>
    <xf numFmtId="0" fontId="53" fillId="0" borderId="22" xfId="0" applyNumberFormat="1" applyFont="1" applyFill="1" applyBorder="1" applyAlignment="1" applyProtection="1">
      <alignment vertical="center" wrapText="1"/>
    </xf>
    <xf numFmtId="0" fontId="58" fillId="3" borderId="22" xfId="0" applyNumberFormat="1" applyFont="1" applyFill="1" applyBorder="1" applyAlignment="1" applyProtection="1">
      <alignment vertical="center" wrapText="1"/>
    </xf>
    <xf numFmtId="0" fontId="58" fillId="0" borderId="3" xfId="0" applyNumberFormat="1" applyFont="1" applyFill="1" applyBorder="1" applyAlignment="1" applyProtection="1">
      <alignment vertical="center" wrapText="1"/>
    </xf>
    <xf numFmtId="0" fontId="2" fillId="0" borderId="4" xfId="0" applyFont="1" applyFill="1" applyBorder="1" applyAlignment="1">
      <alignment horizontal="center" vertical="center"/>
    </xf>
    <xf numFmtId="0" fontId="19" fillId="4" borderId="3" xfId="0" applyFont="1" applyFill="1" applyBorder="1" applyAlignment="1">
      <alignment vertical="center" wrapText="1"/>
    </xf>
    <xf numFmtId="0" fontId="4" fillId="0" borderId="14" xfId="0" applyFont="1" applyFill="1" applyBorder="1" applyAlignment="1">
      <alignment horizontal="left" vertical="center" wrapText="1"/>
    </xf>
    <xf numFmtId="0" fontId="4" fillId="0" borderId="14" xfId="0" applyFont="1" applyFill="1" applyBorder="1" applyAlignment="1">
      <alignment horizontal="left" vertical="center"/>
    </xf>
    <xf numFmtId="3" fontId="4" fillId="0" borderId="14" xfId="0" applyNumberFormat="1" applyFont="1" applyFill="1" applyBorder="1" applyAlignment="1">
      <alignment horizontal="left" vertical="center"/>
    </xf>
    <xf numFmtId="3" fontId="4" fillId="0" borderId="0" xfId="0" applyNumberFormat="1" applyFont="1" applyFill="1" applyBorder="1" applyAlignment="1">
      <alignment horizontal="center" vertical="center"/>
    </xf>
    <xf numFmtId="0" fontId="4" fillId="0" borderId="5" xfId="0" applyFont="1" applyBorder="1"/>
    <xf numFmtId="14" fontId="4" fillId="0" borderId="0" xfId="0" applyNumberFormat="1" applyFont="1" applyFill="1" applyAlignment="1"/>
    <xf numFmtId="2" fontId="19" fillId="0" borderId="0" xfId="0" applyNumberFormat="1" applyFont="1" applyFill="1" applyBorder="1" applyAlignment="1">
      <alignment vertical="center"/>
    </xf>
    <xf numFmtId="0" fontId="2" fillId="0" borderId="0" xfId="0" applyFont="1" applyFill="1" applyBorder="1" applyAlignment="1">
      <alignment vertical="center" wrapText="1"/>
    </xf>
    <xf numFmtId="0" fontId="29" fillId="0" borderId="3" xfId="0" applyFont="1" applyFill="1" applyBorder="1" applyAlignment="1">
      <alignment horizontal="center" vertical="center" wrapText="1"/>
    </xf>
    <xf numFmtId="0" fontId="29" fillId="4" borderId="4"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29" fillId="4" borderId="3" xfId="0" applyFont="1" applyFill="1" applyBorder="1" applyAlignment="1" applyProtection="1">
      <alignment horizontal="center" vertical="center" wrapText="1"/>
      <protection locked="0"/>
    </xf>
    <xf numFmtId="0" fontId="24" fillId="10" borderId="3" xfId="0" applyFont="1" applyFill="1" applyBorder="1" applyAlignment="1">
      <alignment horizontal="center" vertical="center" wrapText="1"/>
    </xf>
    <xf numFmtId="0" fontId="24" fillId="6" borderId="3" xfId="0" applyFont="1" applyFill="1" applyBorder="1" applyAlignment="1">
      <alignment horizontal="center" vertical="center" wrapText="1"/>
    </xf>
    <xf numFmtId="1" fontId="24" fillId="0" borderId="3" xfId="0" applyNumberFormat="1" applyFont="1" applyFill="1" applyBorder="1" applyAlignment="1">
      <alignment horizontal="center" vertical="center" wrapText="1"/>
    </xf>
    <xf numFmtId="1" fontId="44" fillId="0" borderId="3" xfId="0" applyNumberFormat="1" applyFont="1" applyFill="1" applyBorder="1" applyAlignment="1">
      <alignment horizontal="center" vertical="center" wrapText="1"/>
    </xf>
    <xf numFmtId="1" fontId="24" fillId="2" borderId="3"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19" fillId="4" borderId="4" xfId="0" applyNumberFormat="1" applyFont="1" applyFill="1" applyBorder="1" applyAlignment="1">
      <alignment horizontal="centerContinuous" vertical="center" wrapText="1"/>
    </xf>
    <xf numFmtId="0" fontId="19" fillId="4" borderId="6" xfId="0" applyNumberFormat="1" applyFont="1" applyFill="1" applyBorder="1" applyAlignment="1">
      <alignment horizontal="centerContinuous" vertical="center" wrapText="1"/>
    </xf>
    <xf numFmtId="0" fontId="19" fillId="4" borderId="7" xfId="0" applyNumberFormat="1" applyFont="1" applyFill="1" applyBorder="1" applyAlignment="1">
      <alignment horizontal="centerContinuous" vertical="center" wrapText="1"/>
    </xf>
    <xf numFmtId="0" fontId="13" fillId="2" borderId="3" xfId="0" applyFont="1" applyFill="1" applyBorder="1" applyAlignment="1">
      <alignment horizontal="left" vertical="center"/>
    </xf>
    <xf numFmtId="4" fontId="4" fillId="0" borderId="0" xfId="0" applyNumberFormat="1" applyFont="1" applyFill="1" applyBorder="1" applyAlignment="1">
      <alignment horizontal="right" vertical="center"/>
    </xf>
    <xf numFmtId="2" fontId="4" fillId="0" borderId="3" xfId="0" applyNumberFormat="1" applyFont="1" applyFill="1" applyBorder="1" applyAlignment="1">
      <alignment vertical="center"/>
    </xf>
    <xf numFmtId="0" fontId="4" fillId="0" borderId="38" xfId="3" applyNumberFormat="1" applyFont="1" applyFill="1" applyBorder="1" applyAlignment="1" applyProtection="1">
      <alignment horizontal="right" vertical="center"/>
    </xf>
    <xf numFmtId="0" fontId="2" fillId="0" borderId="5" xfId="0" applyFont="1" applyBorder="1" applyAlignment="1">
      <alignment horizontal="center" vertical="center"/>
    </xf>
    <xf numFmtId="0" fontId="35" fillId="0" borderId="0" xfId="0" applyFont="1" applyFill="1" applyBorder="1" applyAlignment="1">
      <alignment vertical="center"/>
    </xf>
    <xf numFmtId="0" fontId="2" fillId="0" borderId="0" xfId="0" applyFont="1" applyFill="1" applyBorder="1" applyAlignment="1">
      <alignment horizontal="center" vertical="center"/>
    </xf>
    <xf numFmtId="0" fontId="72" fillId="0" borderId="0" xfId="0" applyFont="1" applyBorder="1" applyAlignment="1">
      <alignment horizontal="center" vertical="center"/>
    </xf>
    <xf numFmtId="0" fontId="0" fillId="0" borderId="0" xfId="0"/>
    <xf numFmtId="3" fontId="19" fillId="0" borderId="3" xfId="0" applyNumberFormat="1" applyFont="1" applyFill="1" applyBorder="1" applyAlignment="1">
      <alignment vertical="center"/>
    </xf>
    <xf numFmtId="3" fontId="19" fillId="0" borderId="5" xfId="0" applyNumberFormat="1" applyFont="1" applyFill="1" applyBorder="1" applyAlignment="1">
      <alignment vertical="center"/>
    </xf>
    <xf numFmtId="0" fontId="0" fillId="0" borderId="0" xfId="0" applyBorder="1" applyAlignment="1">
      <alignment vertical="center"/>
    </xf>
    <xf numFmtId="0" fontId="0" fillId="0" borderId="0" xfId="0" applyBorder="1" applyAlignment="1">
      <alignment horizontal="center" vertical="center"/>
    </xf>
    <xf numFmtId="0" fontId="0" fillId="0" borderId="0" xfId="0" applyAlignment="1">
      <alignment horizontal="center" vertical="center"/>
    </xf>
    <xf numFmtId="0" fontId="0" fillId="0" borderId="0" xfId="0" applyFont="1" applyFill="1" applyBorder="1" applyAlignment="1">
      <alignment horizontal="center" vertical="center"/>
    </xf>
    <xf numFmtId="0" fontId="0" fillId="0" borderId="0" xfId="0" applyFont="1" applyBorder="1" applyAlignment="1">
      <alignment horizontal="center" vertical="center"/>
    </xf>
    <xf numFmtId="0" fontId="4" fillId="0" borderId="51" xfId="0" applyFont="1" applyFill="1" applyBorder="1" applyAlignment="1">
      <alignment horizontal="left" vertical="center"/>
    </xf>
    <xf numFmtId="0" fontId="0" fillId="0" borderId="51" xfId="0" applyBorder="1" applyAlignment="1">
      <alignment vertical="center"/>
    </xf>
    <xf numFmtId="0" fontId="0" fillId="0" borderId="52" xfId="0" applyBorder="1" applyAlignment="1">
      <alignment vertical="center"/>
    </xf>
    <xf numFmtId="0" fontId="4" fillId="0" borderId="53" xfId="0" applyFont="1" applyFill="1" applyBorder="1" applyAlignment="1">
      <alignment horizontal="left" vertical="center"/>
    </xf>
    <xf numFmtId="0" fontId="0" fillId="0" borderId="53" xfId="0" applyBorder="1" applyAlignment="1">
      <alignment vertical="center"/>
    </xf>
    <xf numFmtId="0" fontId="4" fillId="0" borderId="53" xfId="0" applyFont="1" applyFill="1" applyBorder="1" applyAlignment="1">
      <alignment horizontal="left" vertical="center" wrapText="1"/>
    </xf>
    <xf numFmtId="0" fontId="4" fillId="0" borderId="54" xfId="0" applyFont="1" applyFill="1" applyBorder="1" applyAlignment="1">
      <alignment horizontal="left" vertical="center"/>
    </xf>
    <xf numFmtId="0" fontId="0" fillId="0" borderId="54" xfId="0" applyFill="1" applyBorder="1" applyAlignment="1">
      <alignment vertical="center"/>
    </xf>
    <xf numFmtId="0" fontId="0" fillId="0" borderId="55" xfId="0" applyBorder="1" applyAlignment="1">
      <alignment horizontal="center" vertical="center"/>
    </xf>
    <xf numFmtId="0" fontId="0" fillId="0" borderId="56" xfId="0" applyFill="1" applyBorder="1" applyAlignment="1">
      <alignment vertical="center"/>
    </xf>
    <xf numFmtId="0" fontId="0" fillId="0" borderId="56" xfId="0" applyBorder="1" applyAlignment="1">
      <alignment vertical="center"/>
    </xf>
    <xf numFmtId="0" fontId="0" fillId="0" borderId="51" xfId="0" applyFill="1" applyBorder="1" applyAlignment="1">
      <alignment vertical="center"/>
    </xf>
    <xf numFmtId="0" fontId="0" fillId="0" borderId="52" xfId="0" applyFill="1" applyBorder="1" applyAlignment="1">
      <alignment vertical="center"/>
    </xf>
    <xf numFmtId="0" fontId="0" fillId="0" borderId="53" xfId="0" applyFill="1" applyBorder="1" applyAlignment="1">
      <alignment vertical="center"/>
    </xf>
    <xf numFmtId="0" fontId="0" fillId="0" borderId="0" xfId="0" applyFill="1" applyBorder="1" applyAlignment="1">
      <alignment vertical="center"/>
    </xf>
    <xf numFmtId="0" fontId="4" fillId="0" borderId="0" xfId="0" applyFont="1" applyFill="1" applyBorder="1" applyAlignment="1">
      <alignment textRotation="90"/>
    </xf>
    <xf numFmtId="0" fontId="4" fillId="0" borderId="51" xfId="0" applyFont="1" applyFill="1" applyBorder="1" applyAlignment="1">
      <alignment vertical="center"/>
    </xf>
    <xf numFmtId="0" fontId="4" fillId="0" borderId="53" xfId="0" applyFont="1" applyFill="1" applyBorder="1" applyAlignment="1">
      <alignment vertical="center"/>
    </xf>
    <xf numFmtId="0" fontId="4" fillId="0" borderId="54" xfId="0" applyFont="1" applyFill="1" applyBorder="1" applyAlignment="1">
      <alignment vertical="center" wrapText="1"/>
    </xf>
    <xf numFmtId="0" fontId="0" fillId="0" borderId="54" xfId="0" applyBorder="1" applyAlignment="1">
      <alignment vertical="center"/>
    </xf>
    <xf numFmtId="1" fontId="4" fillId="0" borderId="53" xfId="0" applyNumberFormat="1" applyFont="1" applyFill="1" applyBorder="1" applyAlignment="1">
      <alignment horizontal="left" vertical="center"/>
    </xf>
    <xf numFmtId="0" fontId="4" fillId="0" borderId="54" xfId="0" applyFont="1" applyFill="1" applyBorder="1" applyAlignment="1">
      <alignment vertical="center"/>
    </xf>
    <xf numFmtId="0" fontId="19" fillId="0" borderId="8" xfId="0" applyFont="1" applyFill="1" applyBorder="1" applyAlignment="1">
      <alignment horizontal="center" vertical="center" wrapText="1"/>
    </xf>
    <xf numFmtId="0" fontId="19" fillId="5" borderId="4" xfId="0" applyFont="1" applyFill="1" applyBorder="1" applyAlignment="1">
      <alignment horizontal="center" vertical="center"/>
    </xf>
    <xf numFmtId="0" fontId="19" fillId="0" borderId="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2" fillId="0" borderId="4" xfId="0" applyNumberFormat="1" applyFont="1" applyFill="1" applyBorder="1" applyAlignment="1">
      <alignment horizontal="center" vertical="center"/>
    </xf>
    <xf numFmtId="0" fontId="4" fillId="3" borderId="11"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0" fillId="2" borderId="6" xfId="0" applyFill="1" applyBorder="1" applyAlignment="1">
      <alignment horizontal="centerContinuous"/>
    </xf>
    <xf numFmtId="0" fontId="0" fillId="2" borderId="7" xfId="0" applyFill="1" applyBorder="1" applyAlignment="1">
      <alignment horizontal="centerContinuous"/>
    </xf>
    <xf numFmtId="0" fontId="0" fillId="2" borderId="57" xfId="0" applyFill="1" applyBorder="1" applyAlignment="1">
      <alignment horizontal="center" vertical="center"/>
    </xf>
    <xf numFmtId="0" fontId="0" fillId="2" borderId="58" xfId="0" applyFill="1" applyBorder="1" applyAlignment="1">
      <alignment horizontal="center" vertical="center"/>
    </xf>
    <xf numFmtId="0" fontId="0" fillId="2" borderId="55" xfId="0" applyFill="1" applyBorder="1" applyAlignment="1">
      <alignment horizontal="center" vertical="center"/>
    </xf>
    <xf numFmtId="0" fontId="0" fillId="2" borderId="57" xfId="0" applyFill="1" applyBorder="1" applyAlignment="1">
      <alignment vertical="center"/>
    </xf>
    <xf numFmtId="0" fontId="0" fillId="2" borderId="58" xfId="0" applyFill="1" applyBorder="1" applyAlignment="1">
      <alignment vertical="center"/>
    </xf>
    <xf numFmtId="0" fontId="0" fillId="2" borderId="55" xfId="0" applyFill="1" applyBorder="1" applyAlignment="1">
      <alignment vertical="center"/>
    </xf>
    <xf numFmtId="0" fontId="0" fillId="0" borderId="0" xfId="0" applyAlignment="1">
      <alignment horizontal="center"/>
    </xf>
    <xf numFmtId="0" fontId="0" fillId="2" borderId="57" xfId="0" applyFill="1" applyBorder="1" applyAlignment="1">
      <alignment horizontal="center"/>
    </xf>
    <xf numFmtId="0" fontId="0" fillId="2" borderId="58" xfId="0" applyFill="1" applyBorder="1" applyAlignment="1">
      <alignment horizontal="center"/>
    </xf>
    <xf numFmtId="0" fontId="0" fillId="2" borderId="55" xfId="0" applyFill="1" applyBorder="1" applyAlignment="1">
      <alignment horizontal="center"/>
    </xf>
    <xf numFmtId="0" fontId="19" fillId="0" borderId="52" xfId="0" applyFont="1" applyFill="1" applyBorder="1" applyAlignment="1">
      <alignment horizontal="center" vertical="center"/>
    </xf>
    <xf numFmtId="0" fontId="0" fillId="0" borderId="52" xfId="0" applyBorder="1" applyAlignment="1">
      <alignment horizontal="center" vertical="center"/>
    </xf>
    <xf numFmtId="0" fontId="0" fillId="0" borderId="0" xfId="0" applyFill="1" applyBorder="1" applyAlignment="1">
      <alignment horizontal="center" vertical="center"/>
    </xf>
    <xf numFmtId="0" fontId="0" fillId="0" borderId="56" xfId="0" applyBorder="1" applyAlignment="1">
      <alignment horizontal="center" vertical="center"/>
    </xf>
    <xf numFmtId="0" fontId="0" fillId="2" borderId="52" xfId="0" applyFill="1" applyBorder="1" applyAlignment="1">
      <alignment horizontal="center" vertical="center"/>
    </xf>
    <xf numFmtId="0" fontId="0" fillId="2" borderId="0" xfId="0" applyFill="1" applyBorder="1" applyAlignment="1">
      <alignment horizontal="center" vertical="center"/>
    </xf>
    <xf numFmtId="0" fontId="0" fillId="2" borderId="56" xfId="0" applyFill="1" applyBorder="1" applyAlignment="1">
      <alignment horizontal="center" vertical="center"/>
    </xf>
    <xf numFmtId="0" fontId="19" fillId="0" borderId="3" xfId="0" applyFont="1" applyFill="1" applyBorder="1" applyAlignment="1" applyProtection="1">
      <alignment horizontal="center" vertical="center" wrapText="1"/>
      <protection hidden="1"/>
    </xf>
    <xf numFmtId="0" fontId="0" fillId="0" borderId="0" xfId="0" applyFill="1" applyBorder="1"/>
    <xf numFmtId="0" fontId="62" fillId="0" borderId="3" xfId="0" applyFont="1" applyBorder="1" applyAlignment="1"/>
    <xf numFmtId="0" fontId="49" fillId="0" borderId="4" xfId="0" applyNumberFormat="1" applyFont="1" applyFill="1" applyBorder="1" applyAlignment="1">
      <alignment horizontal="center" vertical="center" wrapText="1"/>
    </xf>
    <xf numFmtId="0" fontId="49" fillId="0" borderId="3" xfId="0" applyNumberFormat="1" applyFont="1" applyFill="1" applyBorder="1" applyAlignment="1">
      <alignment horizontal="center" vertical="center" wrapText="1"/>
    </xf>
    <xf numFmtId="0" fontId="49" fillId="2" borderId="4" xfId="0" applyNumberFormat="1" applyFont="1" applyFill="1" applyBorder="1" applyAlignment="1">
      <alignment horizontal="center" vertical="center" wrapText="1"/>
    </xf>
    <xf numFmtId="0" fontId="49" fillId="2" borderId="3" xfId="0" applyNumberFormat="1" applyFont="1" applyFill="1" applyBorder="1" applyAlignment="1">
      <alignment horizontal="center" vertical="center" wrapText="1"/>
    </xf>
    <xf numFmtId="0" fontId="49" fillId="2" borderId="3" xfId="0" applyFont="1" applyFill="1" applyBorder="1" applyAlignment="1">
      <alignment horizontal="center" vertical="center" wrapText="1"/>
    </xf>
    <xf numFmtId="0" fontId="49" fillId="2" borderId="7" xfId="0" applyNumberFormat="1" applyFont="1" applyFill="1" applyBorder="1" applyAlignment="1">
      <alignment horizontal="center" vertical="center" wrapText="1"/>
    </xf>
    <xf numFmtId="0" fontId="49" fillId="0" borderId="7" xfId="0" applyNumberFormat="1" applyFont="1" applyFill="1" applyBorder="1" applyAlignment="1">
      <alignment horizontal="center" vertical="center" wrapText="1"/>
    </xf>
    <xf numFmtId="1" fontId="49" fillId="2" borderId="3" xfId="0" applyNumberFormat="1" applyFont="1" applyFill="1" applyBorder="1" applyAlignment="1">
      <alignment horizontal="center" vertical="center" wrapText="1"/>
    </xf>
    <xf numFmtId="0" fontId="49" fillId="2" borderId="22" xfId="0" applyNumberFormat="1" applyFont="1" applyFill="1" applyBorder="1" applyAlignment="1">
      <alignment horizontal="center" vertical="center" wrapText="1"/>
    </xf>
    <xf numFmtId="0" fontId="49" fillId="0" borderId="5" xfId="0" applyNumberFormat="1" applyFont="1" applyFill="1" applyBorder="1" applyAlignment="1">
      <alignment horizontal="center" vertical="center" wrapText="1"/>
    </xf>
    <xf numFmtId="0" fontId="19" fillId="2" borderId="14" xfId="0" applyFont="1" applyFill="1" applyBorder="1" applyAlignment="1">
      <alignment vertical="center" wrapText="1"/>
    </xf>
    <xf numFmtId="0" fontId="49" fillId="2" borderId="5" xfId="0" applyFont="1" applyFill="1" applyBorder="1" applyAlignment="1">
      <alignment horizontal="center" vertical="center" wrapText="1"/>
    </xf>
    <xf numFmtId="0" fontId="19" fillId="2" borderId="6" xfId="0" applyNumberFormat="1" applyFont="1" applyFill="1" applyBorder="1" applyAlignment="1">
      <alignment vertical="center" wrapText="1"/>
    </xf>
    <xf numFmtId="0" fontId="19" fillId="2" borderId="7" xfId="0" applyNumberFormat="1" applyFont="1" applyFill="1" applyBorder="1" applyAlignment="1">
      <alignment vertical="center" wrapText="1"/>
    </xf>
    <xf numFmtId="0" fontId="49" fillId="0" borderId="3" xfId="0" applyNumberFormat="1" applyFont="1" applyFill="1" applyBorder="1" applyAlignment="1">
      <alignment vertical="center"/>
    </xf>
    <xf numFmtId="0" fontId="49" fillId="0" borderId="3" xfId="0" applyNumberFormat="1" applyFont="1" applyFill="1" applyBorder="1" applyAlignment="1">
      <alignment vertical="center" wrapText="1"/>
    </xf>
    <xf numFmtId="0" fontId="9" fillId="0" borderId="38" xfId="0" applyFont="1" applyFill="1" applyBorder="1" applyAlignment="1">
      <alignment horizontal="center" vertical="center"/>
    </xf>
    <xf numFmtId="0" fontId="4" fillId="3" borderId="3" xfId="0" applyNumberFormat="1" applyFont="1" applyFill="1" applyBorder="1" applyAlignment="1">
      <alignment horizontal="left" vertical="center" wrapText="1"/>
    </xf>
    <xf numFmtId="0" fontId="4" fillId="0" borderId="3" xfId="0" applyNumberFormat="1" applyFont="1" applyBorder="1" applyAlignment="1">
      <alignment horizontal="left" vertical="center" wrapText="1"/>
    </xf>
    <xf numFmtId="1" fontId="4" fillId="3" borderId="4" xfId="0" applyNumberFormat="1" applyFont="1" applyFill="1" applyBorder="1" applyAlignment="1">
      <alignment horizontal="left" vertical="center" wrapText="1"/>
    </xf>
    <xf numFmtId="9" fontId="4" fillId="0" borderId="4" xfId="0" applyNumberFormat="1" applyFont="1" applyBorder="1" applyAlignment="1">
      <alignment vertical="center"/>
    </xf>
    <xf numFmtId="0" fontId="4" fillId="0" borderId="13" xfId="0" applyFont="1" applyBorder="1" applyAlignment="1">
      <alignment vertical="center"/>
    </xf>
    <xf numFmtId="9" fontId="4" fillId="0" borderId="13" xfId="0" applyNumberFormat="1" applyFont="1" applyBorder="1" applyAlignment="1">
      <alignment vertical="center"/>
    </xf>
    <xf numFmtId="0" fontId="4" fillId="0" borderId="12" xfId="0" applyFont="1" applyBorder="1" applyAlignment="1">
      <alignment horizontal="left" vertical="center"/>
    </xf>
    <xf numFmtId="14" fontId="19" fillId="0" borderId="0" xfId="0" applyNumberFormat="1" applyFont="1" applyFill="1" applyBorder="1" applyAlignment="1">
      <alignment vertical="center"/>
    </xf>
    <xf numFmtId="0" fontId="4" fillId="2" borderId="7" xfId="0" applyNumberFormat="1" applyFont="1" applyFill="1" applyBorder="1" applyAlignment="1">
      <alignment horizontal="center" vertical="center"/>
    </xf>
    <xf numFmtId="0" fontId="4" fillId="2" borderId="6" xfId="0" applyNumberFormat="1" applyFont="1" applyFill="1" applyBorder="1" applyAlignment="1">
      <alignment horizontal="center" vertical="center"/>
    </xf>
    <xf numFmtId="0" fontId="0" fillId="0" borderId="0" xfId="0"/>
    <xf numFmtId="0" fontId="0" fillId="0" borderId="0" xfId="0" applyBorder="1" applyAlignment="1">
      <alignment vertical="center" wrapText="1"/>
    </xf>
    <xf numFmtId="0" fontId="4" fillId="0" borderId="51" xfId="0" applyFont="1" applyFill="1" applyBorder="1" applyAlignment="1">
      <alignment horizontal="left" vertical="center" wrapText="1"/>
    </xf>
    <xf numFmtId="0" fontId="4" fillId="0" borderId="54" xfId="0" applyFont="1" applyFill="1" applyBorder="1" applyAlignment="1">
      <alignment horizontal="left" vertical="center" wrapText="1"/>
    </xf>
    <xf numFmtId="0" fontId="4" fillId="0" borderId="51" xfId="0" applyFont="1" applyFill="1" applyBorder="1" applyAlignment="1">
      <alignment vertical="center" wrapText="1"/>
    </xf>
    <xf numFmtId="0" fontId="4" fillId="0" borderId="53" xfId="0" applyFont="1" applyFill="1" applyBorder="1" applyAlignment="1">
      <alignment vertical="center" wrapText="1"/>
    </xf>
    <xf numFmtId="1" fontId="4" fillId="0" borderId="53" xfId="0" applyNumberFormat="1" applyFont="1" applyFill="1" applyBorder="1" applyAlignment="1">
      <alignment horizontal="left" vertical="center" wrapText="1"/>
    </xf>
    <xf numFmtId="2" fontId="4" fillId="2" borderId="12" xfId="0" applyNumberFormat="1" applyFont="1" applyFill="1" applyBorder="1" applyAlignment="1">
      <alignment horizontal="center" vertical="center"/>
    </xf>
    <xf numFmtId="4" fontId="4" fillId="0" borderId="12" xfId="0" applyNumberFormat="1" applyFont="1" applyFill="1" applyBorder="1" applyAlignment="1">
      <alignment horizontal="center" vertical="center"/>
    </xf>
    <xf numFmtId="0" fontId="49" fillId="2" borderId="15" xfId="0" applyNumberFormat="1" applyFont="1" applyFill="1" applyBorder="1" applyAlignment="1">
      <alignment horizontal="center" vertical="center" wrapText="1"/>
    </xf>
    <xf numFmtId="4" fontId="4" fillId="0" borderId="3" xfId="0" applyNumberFormat="1" applyFont="1" applyFill="1" applyBorder="1" applyAlignment="1">
      <alignment horizontal="right" vertical="center" wrapText="1"/>
    </xf>
    <xf numFmtId="14" fontId="19" fillId="0" borderId="34" xfId="0" applyNumberFormat="1" applyFont="1" applyFill="1" applyBorder="1" applyAlignment="1">
      <alignment horizontal="center" vertical="center"/>
    </xf>
    <xf numFmtId="0" fontId="19" fillId="0" borderId="12" xfId="0" applyFont="1" applyFill="1" applyBorder="1" applyAlignment="1">
      <alignment horizontal="center" vertical="center" wrapText="1"/>
    </xf>
    <xf numFmtId="0" fontId="0" fillId="0" borderId="0" xfId="0"/>
    <xf numFmtId="4" fontId="19" fillId="0" borderId="12" xfId="0" applyNumberFormat="1" applyFont="1" applyFill="1" applyBorder="1" applyAlignment="1" applyProtection="1">
      <alignment horizontal="center" vertical="center"/>
      <protection hidden="1"/>
    </xf>
    <xf numFmtId="4" fontId="19" fillId="0" borderId="3" xfId="0" applyNumberFormat="1" applyFont="1" applyFill="1" applyBorder="1" applyAlignment="1" applyProtection="1">
      <alignment horizontal="center" vertical="center"/>
      <protection hidden="1"/>
    </xf>
    <xf numFmtId="4" fontId="13" fillId="0" borderId="3" xfId="0" applyNumberFormat="1" applyFont="1" applyFill="1" applyBorder="1" applyAlignment="1" applyProtection="1">
      <alignment horizontal="center" vertical="center"/>
      <protection hidden="1"/>
    </xf>
    <xf numFmtId="4" fontId="19" fillId="0" borderId="5" xfId="0" applyNumberFormat="1" applyFont="1" applyFill="1" applyBorder="1" applyAlignment="1" applyProtection="1">
      <alignment horizontal="center" vertical="center"/>
      <protection hidden="1"/>
    </xf>
    <xf numFmtId="0" fontId="4" fillId="0" borderId="6" xfId="0" applyFont="1" applyFill="1" applyBorder="1" applyAlignment="1">
      <alignment vertical="center"/>
    </xf>
    <xf numFmtId="0" fontId="4" fillId="0" borderId="7" xfId="0" applyFont="1" applyFill="1" applyBorder="1" applyAlignment="1">
      <alignment vertical="center"/>
    </xf>
    <xf numFmtId="0" fontId="19" fillId="0" borderId="0" xfId="0" applyNumberFormat="1" applyFont="1" applyFill="1" applyBorder="1" applyAlignment="1">
      <alignment vertical="center" wrapText="1"/>
    </xf>
    <xf numFmtId="0" fontId="19" fillId="0" borderId="5" xfId="0" applyNumberFormat="1" applyFont="1" applyFill="1" applyBorder="1" applyAlignment="1">
      <alignment horizontal="center" vertical="center"/>
    </xf>
    <xf numFmtId="4" fontId="19" fillId="0" borderId="3" xfId="0" applyNumberFormat="1" applyFont="1" applyBorder="1" applyAlignment="1">
      <alignment horizontal="center" vertical="center"/>
    </xf>
    <xf numFmtId="0" fontId="19" fillId="0" borderId="12" xfId="0" applyNumberFormat="1" applyFont="1" applyFill="1" applyBorder="1" applyAlignment="1">
      <alignment vertical="center"/>
    </xf>
    <xf numFmtId="4" fontId="19" fillId="0" borderId="5" xfId="0" applyNumberFormat="1" applyFont="1" applyFill="1" applyBorder="1" applyAlignment="1">
      <alignment horizontal="center" vertical="center" wrapText="1"/>
    </xf>
    <xf numFmtId="0" fontId="19" fillId="0" borderId="5" xfId="0" applyFont="1" applyBorder="1" applyAlignment="1">
      <alignment horizontal="center" vertical="center" wrapText="1"/>
    </xf>
    <xf numFmtId="4" fontId="19" fillId="0" borderId="3" xfId="0" applyNumberFormat="1" applyFont="1" applyBorder="1" applyAlignment="1">
      <alignment horizontal="center" vertical="center" wrapText="1"/>
    </xf>
    <xf numFmtId="0" fontId="4" fillId="0" borderId="9" xfId="0" applyFont="1" applyBorder="1" applyAlignment="1">
      <alignment vertical="center"/>
    </xf>
    <xf numFmtId="0" fontId="2" fillId="5" borderId="0" xfId="0" applyFont="1" applyFill="1" applyBorder="1" applyAlignment="1">
      <alignment horizontal="center" vertical="center"/>
    </xf>
    <xf numFmtId="10" fontId="4" fillId="0" borderId="0" xfId="0" applyNumberFormat="1" applyFont="1" applyBorder="1" applyAlignment="1">
      <alignment horizontal="center" vertical="center"/>
    </xf>
    <xf numFmtId="0" fontId="4" fillId="0" borderId="14" xfId="0" applyFont="1" applyFill="1" applyBorder="1" applyAlignment="1">
      <alignment horizontal="center" vertical="center"/>
    </xf>
    <xf numFmtId="14" fontId="19" fillId="0" borderId="0" xfId="0" applyNumberFormat="1" applyFont="1" applyFill="1" applyBorder="1" applyAlignment="1">
      <alignment horizontal="center" vertical="center" wrapText="1"/>
    </xf>
    <xf numFmtId="14" fontId="19" fillId="0" borderId="0" xfId="0" applyNumberFormat="1" applyFont="1" applyFill="1" applyBorder="1" applyAlignment="1">
      <alignment horizontal="center"/>
    </xf>
    <xf numFmtId="14" fontId="19" fillId="0" borderId="34" xfId="0" applyNumberFormat="1"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14" fontId="4" fillId="0" borderId="0" xfId="0" applyNumberFormat="1" applyFont="1" applyBorder="1" applyAlignment="1">
      <alignment horizontal="center" vertical="center" wrapText="1"/>
    </xf>
    <xf numFmtId="1" fontId="19" fillId="2" borderId="3" xfId="0" applyNumberFormat="1" applyFont="1" applyFill="1" applyBorder="1" applyAlignment="1">
      <alignment horizontal="center" vertical="center" wrapText="1"/>
    </xf>
    <xf numFmtId="14" fontId="2" fillId="0" borderId="0" xfId="0" applyNumberFormat="1" applyFont="1" applyAlignment="1">
      <alignment horizontal="center" vertical="center" wrapText="1"/>
    </xf>
    <xf numFmtId="0" fontId="55" fillId="2" borderId="12" xfId="0" applyFont="1" applyFill="1" applyBorder="1" applyAlignment="1">
      <alignment horizontal="center"/>
    </xf>
    <xf numFmtId="0" fontId="19" fillId="2" borderId="3"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xf>
    <xf numFmtId="14" fontId="4" fillId="0" borderId="3" xfId="0" applyNumberFormat="1" applyFont="1" applyFill="1" applyBorder="1" applyAlignment="1" applyProtection="1">
      <alignment horizontal="center" vertical="center"/>
    </xf>
    <xf numFmtId="0" fontId="4" fillId="5" borderId="4" xfId="0" applyFont="1" applyFill="1" applyBorder="1" applyAlignment="1">
      <alignment vertical="center" wrapText="1"/>
    </xf>
    <xf numFmtId="9" fontId="4" fillId="0" borderId="0" xfId="0" applyNumberFormat="1" applyFont="1" applyBorder="1" applyAlignment="1">
      <alignment vertical="center"/>
    </xf>
    <xf numFmtId="0" fontId="4" fillId="0" borderId="33" xfId="0" applyFont="1" applyFill="1" applyBorder="1" applyAlignment="1" applyProtection="1">
      <alignment vertical="center"/>
    </xf>
    <xf numFmtId="0" fontId="4" fillId="0" borderId="33" xfId="0" applyFont="1" applyFill="1" applyBorder="1" applyAlignment="1" applyProtection="1">
      <alignment horizontal="right" vertical="center"/>
    </xf>
    <xf numFmtId="14" fontId="19" fillId="0" borderId="33" xfId="0" applyNumberFormat="1" applyFont="1" applyFill="1" applyBorder="1" applyAlignment="1" applyProtection="1">
      <alignment horizontal="center" vertical="center"/>
    </xf>
    <xf numFmtId="1" fontId="4" fillId="0" borderId="3" xfId="0" applyNumberFormat="1" applyFont="1" applyFill="1" applyBorder="1" applyAlignment="1">
      <alignment vertical="center" wrapText="1"/>
    </xf>
    <xf numFmtId="0" fontId="4" fillId="0" borderId="0" xfId="0" applyFont="1" applyFill="1" applyAlignment="1">
      <alignment horizontal="center"/>
    </xf>
    <xf numFmtId="0" fontId="4" fillId="0" borderId="14" xfId="0" applyFont="1" applyFill="1" applyBorder="1" applyAlignment="1">
      <alignment horizontal="left" vertical="center" indent="1"/>
    </xf>
    <xf numFmtId="1" fontId="4" fillId="0" borderId="14" xfId="0" applyNumberFormat="1" applyFont="1" applyFill="1" applyBorder="1" applyAlignment="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center" vertical="center"/>
    </xf>
    <xf numFmtId="14" fontId="4" fillId="0" borderId="14" xfId="0" applyNumberFormat="1" applyFont="1" applyFill="1" applyBorder="1" applyAlignment="1" applyProtection="1">
      <alignment horizontal="center" vertical="center"/>
    </xf>
    <xf numFmtId="0" fontId="7" fillId="0" borderId="0" xfId="3" applyFont="1" applyAlignment="1">
      <alignment vertical="center"/>
    </xf>
    <xf numFmtId="0" fontId="4" fillId="0" borderId="5" xfId="0" applyFont="1" applyBorder="1" applyAlignment="1"/>
    <xf numFmtId="0" fontId="4" fillId="0" borderId="10" xfId="0" applyFont="1" applyBorder="1" applyAlignment="1"/>
    <xf numFmtId="0" fontId="4" fillId="3" borderId="3" xfId="0" applyFont="1" applyFill="1" applyBorder="1" applyAlignment="1" applyProtection="1">
      <alignment horizontal="center" vertical="center" wrapText="1"/>
      <protection hidden="1"/>
    </xf>
    <xf numFmtId="0" fontId="4" fillId="3" borderId="3" xfId="0" applyFont="1" applyFill="1" applyBorder="1" applyAlignment="1">
      <alignment horizontal="center"/>
    </xf>
    <xf numFmtId="2" fontId="4" fillId="3" borderId="48" xfId="0" applyNumberFormat="1" applyFont="1" applyFill="1" applyBorder="1" applyAlignment="1">
      <alignment horizontal="center" vertical="center"/>
    </xf>
    <xf numFmtId="2" fontId="4" fillId="3" borderId="49" xfId="0" applyNumberFormat="1" applyFont="1" applyFill="1" applyBorder="1" applyAlignment="1">
      <alignment horizontal="center" vertical="center"/>
    </xf>
    <xf numFmtId="0" fontId="49" fillId="3" borderId="4" xfId="0" applyNumberFormat="1" applyFont="1" applyFill="1" applyBorder="1" applyAlignment="1">
      <alignment horizontal="center" vertical="center" wrapText="1"/>
    </xf>
    <xf numFmtId="0" fontId="49" fillId="3" borderId="3" xfId="0" applyNumberFormat="1" applyFont="1" applyFill="1" applyBorder="1" applyAlignment="1">
      <alignment horizontal="center" vertical="center" wrapText="1"/>
    </xf>
    <xf numFmtId="0" fontId="19" fillId="0" borderId="9" xfId="0" applyFont="1" applyFill="1" applyBorder="1" applyAlignment="1">
      <alignment vertical="center"/>
    </xf>
    <xf numFmtId="0" fontId="19" fillId="3" borderId="6" xfId="0" applyFont="1" applyFill="1" applyBorder="1" applyAlignment="1">
      <alignment horizontal="centerContinuous" vertical="center"/>
    </xf>
    <xf numFmtId="4" fontId="2" fillId="3" borderId="3" xfId="0" applyNumberFormat="1" applyFont="1" applyFill="1" applyBorder="1" applyAlignment="1">
      <alignment horizontal="center" vertical="center"/>
    </xf>
    <xf numFmtId="2" fontId="4" fillId="2" borderId="48" xfId="0" applyNumberFormat="1" applyFont="1" applyFill="1" applyBorder="1" applyAlignment="1">
      <alignment horizontal="center" vertical="center"/>
    </xf>
    <xf numFmtId="2" fontId="4" fillId="2" borderId="49" xfId="0" applyNumberFormat="1" applyFont="1" applyFill="1" applyBorder="1" applyAlignment="1">
      <alignment horizontal="center" vertical="center"/>
    </xf>
    <xf numFmtId="0" fontId="19" fillId="2" borderId="4" xfId="0" applyNumberFormat="1" applyFont="1" applyFill="1" applyBorder="1" applyAlignment="1">
      <alignment horizontal="center" vertical="center"/>
    </xf>
    <xf numFmtId="0" fontId="19" fillId="2" borderId="5" xfId="0" applyNumberFormat="1" applyFont="1" applyFill="1" applyBorder="1" applyAlignment="1">
      <alignment vertical="center"/>
    </xf>
    <xf numFmtId="172" fontId="4" fillId="0" borderId="3" xfId="0" applyNumberFormat="1" applyFont="1" applyFill="1" applyBorder="1" applyAlignment="1">
      <alignment horizontal="center" vertical="center"/>
    </xf>
    <xf numFmtId="0" fontId="4" fillId="2" borderId="48" xfId="0" applyFont="1" applyFill="1" applyBorder="1" applyAlignment="1">
      <alignment horizontal="center"/>
    </xf>
    <xf numFmtId="0" fontId="19" fillId="2" borderId="49" xfId="0" applyFont="1" applyFill="1" applyBorder="1" applyAlignment="1">
      <alignment horizontal="center" vertical="center" wrapText="1"/>
    </xf>
    <xf numFmtId="0" fontId="4" fillId="2" borderId="12" xfId="0" applyFont="1" applyFill="1" applyBorder="1" applyAlignment="1">
      <alignment horizontal="center"/>
    </xf>
    <xf numFmtId="0" fontId="4" fillId="2" borderId="0" xfId="0" applyFont="1" applyFill="1" applyBorder="1" applyAlignment="1">
      <alignment horizontal="center"/>
    </xf>
    <xf numFmtId="4" fontId="2" fillId="2" borderId="3" xfId="0" applyNumberFormat="1" applyFont="1" applyFill="1" applyBorder="1" applyAlignment="1">
      <alignment horizontal="center" vertical="center"/>
    </xf>
    <xf numFmtId="2" fontId="4" fillId="2" borderId="3" xfId="0" applyNumberFormat="1" applyFont="1" applyFill="1" applyBorder="1" applyAlignment="1">
      <alignment horizontal="center"/>
    </xf>
    <xf numFmtId="0" fontId="0" fillId="0" borderId="0" xfId="0"/>
    <xf numFmtId="0" fontId="0" fillId="0" borderId="3" xfId="0" applyFill="1" applyBorder="1" applyAlignment="1">
      <alignment horizontal="center"/>
    </xf>
    <xf numFmtId="0" fontId="2" fillId="0" borderId="0" xfId="0" applyFont="1" applyAlignment="1">
      <alignment horizontal="center" vertical="top"/>
    </xf>
    <xf numFmtId="0" fontId="4" fillId="2" borderId="4" xfId="0" applyNumberFormat="1" applyFont="1" applyFill="1" applyBorder="1" applyAlignment="1">
      <alignment horizontal="center" vertical="center" wrapText="1"/>
    </xf>
    <xf numFmtId="0" fontId="4" fillId="2" borderId="22" xfId="0" applyNumberFormat="1" applyFont="1" applyFill="1" applyBorder="1" applyAlignment="1">
      <alignment horizontal="center" vertical="center"/>
    </xf>
    <xf numFmtId="4" fontId="19" fillId="0" borderId="12" xfId="0" applyNumberFormat="1" applyFont="1" applyFill="1" applyBorder="1" applyAlignment="1" applyProtection="1">
      <alignment horizontal="center" vertical="center" wrapText="1"/>
      <protection hidden="1"/>
    </xf>
    <xf numFmtId="0" fontId="2" fillId="0" borderId="4" xfId="0" applyFont="1" applyBorder="1" applyAlignment="1">
      <alignment horizontal="left" vertical="center"/>
    </xf>
    <xf numFmtId="175" fontId="4" fillId="0" borderId="4" xfId="0" applyNumberFormat="1" applyFont="1" applyBorder="1" applyAlignment="1">
      <alignment horizontal="center" vertical="center"/>
    </xf>
    <xf numFmtId="0" fontId="2" fillId="0" borderId="0" xfId="0" applyFont="1" applyBorder="1" applyAlignment="1">
      <alignment horizontal="left" vertical="center"/>
    </xf>
    <xf numFmtId="0" fontId="20" fillId="0" borderId="0" xfId="0" applyFont="1" applyFill="1" applyBorder="1" applyAlignment="1">
      <alignment horizontal="center" wrapText="1"/>
    </xf>
    <xf numFmtId="0" fontId="13" fillId="0" borderId="7" xfId="0" applyNumberFormat="1" applyFont="1" applyFill="1" applyBorder="1" applyAlignment="1">
      <alignment horizontal="center" vertical="center"/>
    </xf>
    <xf numFmtId="0" fontId="0" fillId="0" borderId="3" xfId="0" applyFill="1" applyBorder="1"/>
    <xf numFmtId="0" fontId="4" fillId="5" borderId="4" xfId="0" applyFont="1" applyFill="1" applyBorder="1" applyAlignment="1">
      <alignment horizontal="center" vertical="center" wrapText="1"/>
    </xf>
    <xf numFmtId="16" fontId="2" fillId="0" borderId="0" xfId="0" applyNumberFormat="1" applyFont="1"/>
    <xf numFmtId="0" fontId="7" fillId="0" borderId="0" xfId="3" applyFont="1"/>
    <xf numFmtId="0" fontId="2" fillId="0" borderId="0" xfId="0" applyFont="1" applyFill="1" applyBorder="1" applyAlignment="1">
      <alignment horizontal="left" vertical="center" wrapText="1"/>
    </xf>
    <xf numFmtId="0" fontId="4" fillId="0" borderId="0" xfId="0" applyNumberFormat="1" applyFont="1" applyBorder="1" applyAlignment="1">
      <alignment horizontal="left" vertical="center"/>
    </xf>
    <xf numFmtId="2" fontId="4" fillId="0" borderId="3" xfId="0" applyNumberFormat="1" applyFont="1" applyFill="1" applyBorder="1" applyAlignment="1" applyProtection="1">
      <alignment horizontal="center" vertical="center"/>
    </xf>
    <xf numFmtId="0" fontId="4" fillId="5" borderId="3" xfId="0" applyFont="1" applyFill="1" applyBorder="1" applyAlignment="1">
      <alignment horizontal="left" vertical="center" wrapText="1"/>
    </xf>
    <xf numFmtId="0" fontId="7" fillId="0" borderId="0" xfId="3" applyFont="1" applyFill="1" applyAlignment="1">
      <alignment vertical="center"/>
    </xf>
    <xf numFmtId="1" fontId="2" fillId="0" borderId="0" xfId="0" applyNumberFormat="1" applyFont="1" applyBorder="1" applyAlignment="1">
      <alignment horizontal="center" vertical="center"/>
    </xf>
    <xf numFmtId="0" fontId="19" fillId="0" borderId="0" xfId="0" applyNumberFormat="1" applyFont="1" applyFill="1" applyBorder="1" applyAlignment="1">
      <alignment horizontal="center" vertical="center" wrapText="1"/>
    </xf>
    <xf numFmtId="0" fontId="19" fillId="2" borderId="6" xfId="0" applyFont="1" applyFill="1" applyBorder="1" applyAlignment="1">
      <alignment horizontal="center" vertical="center" wrapText="1"/>
    </xf>
    <xf numFmtId="0" fontId="0" fillId="0" borderId="3" xfId="0" applyFill="1" applyBorder="1" applyAlignment="1">
      <alignment horizontal="center"/>
    </xf>
    <xf numFmtId="0" fontId="19" fillId="2" borderId="4" xfId="0" applyFont="1" applyFill="1" applyBorder="1" applyAlignment="1">
      <alignment horizontal="center" vertical="center"/>
    </xf>
    <xf numFmtId="0" fontId="0" fillId="0" borderId="3" xfId="0" applyBorder="1"/>
    <xf numFmtId="0" fontId="4" fillId="3" borderId="0" xfId="0" applyFont="1" applyFill="1" applyAlignment="1">
      <alignment horizontal="center" vertical="center"/>
    </xf>
    <xf numFmtId="0" fontId="2" fillId="3" borderId="3" xfId="0" applyNumberFormat="1" applyFont="1" applyFill="1" applyBorder="1" applyAlignment="1">
      <alignment horizontal="center" vertical="center"/>
    </xf>
    <xf numFmtId="0" fontId="0" fillId="3" borderId="3" xfId="0" applyFill="1" applyBorder="1" applyAlignment="1">
      <alignment vertical="center"/>
    </xf>
    <xf numFmtId="9" fontId="4" fillId="0" borderId="6" xfId="0" applyNumberFormat="1" applyFont="1" applyBorder="1" applyAlignment="1">
      <alignment horizontal="center" vertical="center"/>
    </xf>
    <xf numFmtId="9" fontId="4" fillId="0" borderId="7" xfId="0" applyNumberFormat="1" applyFont="1" applyBorder="1" applyAlignment="1">
      <alignment horizontal="center" vertical="center"/>
    </xf>
    <xf numFmtId="0" fontId="49" fillId="3" borderId="7" xfId="0" applyNumberFormat="1" applyFont="1" applyFill="1" applyBorder="1" applyAlignment="1">
      <alignment horizontal="center" vertical="center" wrapText="1"/>
    </xf>
    <xf numFmtId="0" fontId="49" fillId="3" borderId="22" xfId="0" applyNumberFormat="1" applyFont="1" applyFill="1" applyBorder="1" applyAlignment="1">
      <alignment horizontal="center" vertical="center" wrapText="1"/>
    </xf>
    <xf numFmtId="0" fontId="49" fillId="3" borderId="5" xfId="0" applyNumberFormat="1" applyFont="1" applyFill="1" applyBorder="1" applyAlignment="1">
      <alignment horizontal="center" vertical="center" wrapText="1"/>
    </xf>
    <xf numFmtId="0" fontId="49" fillId="3" borderId="15" xfId="0" applyNumberFormat="1" applyFont="1" applyFill="1" applyBorder="1" applyAlignment="1">
      <alignment horizontal="center" vertical="center" wrapText="1"/>
    </xf>
    <xf numFmtId="0" fontId="49" fillId="3" borderId="12" xfId="0" applyNumberFormat="1" applyFont="1" applyFill="1" applyBorder="1" applyAlignment="1">
      <alignment horizontal="center" vertical="center" wrapText="1"/>
    </xf>
    <xf numFmtId="3" fontId="29" fillId="3" borderId="3" xfId="0" applyNumberFormat="1" applyFont="1" applyFill="1" applyBorder="1" applyAlignment="1">
      <alignment horizontal="center" vertical="center"/>
    </xf>
    <xf numFmtId="0" fontId="4" fillId="3" borderId="3" xfId="0" applyNumberFormat="1" applyFont="1" applyFill="1" applyBorder="1" applyAlignment="1">
      <alignment horizontal="center" vertical="center" wrapText="1"/>
    </xf>
    <xf numFmtId="0" fontId="4" fillId="3" borderId="12" xfId="0" applyNumberFormat="1" applyFont="1" applyFill="1" applyBorder="1" applyAlignment="1">
      <alignment horizontal="center" vertical="center"/>
    </xf>
    <xf numFmtId="0" fontId="4" fillId="3" borderId="5" xfId="0" applyNumberFormat="1" applyFont="1" applyFill="1" applyBorder="1" applyAlignment="1">
      <alignment horizontal="center" vertical="center"/>
    </xf>
    <xf numFmtId="0" fontId="4" fillId="3" borderId="5" xfId="0" applyNumberFormat="1" applyFont="1" applyFill="1" applyBorder="1" applyAlignment="1">
      <alignment horizontal="center" vertical="center" wrapText="1"/>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29" fillId="0" borderId="0" xfId="0" applyFont="1" applyFill="1" applyBorder="1" applyAlignment="1">
      <alignment horizontal="center" vertical="center" wrapText="1"/>
    </xf>
    <xf numFmtId="0" fontId="29" fillId="0" borderId="0" xfId="0" applyFont="1" applyFill="1" applyBorder="1" applyAlignment="1">
      <alignment horizontal="center" vertical="center"/>
    </xf>
    <xf numFmtId="0" fontId="29" fillId="0" borderId="3" xfId="0" applyNumberFormat="1" applyFont="1" applyFill="1" applyBorder="1" applyAlignment="1">
      <alignment horizontal="center" vertical="center"/>
    </xf>
    <xf numFmtId="0" fontId="4" fillId="0" borderId="4" xfId="0" applyFont="1" applyBorder="1" applyAlignment="1">
      <alignment wrapText="1"/>
    </xf>
    <xf numFmtId="0" fontId="4" fillId="0" borderId="4" xfId="0" applyFont="1" applyBorder="1" applyAlignment="1">
      <alignment vertical="center" wrapText="1"/>
    </xf>
    <xf numFmtId="2" fontId="4" fillId="0" borderId="3" xfId="0" applyNumberFormat="1" applyFont="1" applyFill="1" applyBorder="1" applyAlignment="1">
      <alignment horizontal="left" vertical="center" wrapText="1"/>
    </xf>
    <xf numFmtId="0" fontId="30" fillId="0" borderId="38" xfId="0" applyFont="1" applyFill="1" applyBorder="1" applyAlignment="1"/>
    <xf numFmtId="0" fontId="4" fillId="0" borderId="6"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6" xfId="0" applyFont="1" applyBorder="1" applyAlignment="1">
      <alignment horizontal="left" vertical="center" wrapText="1"/>
    </xf>
    <xf numFmtId="0" fontId="4" fillId="0" borderId="6" xfId="0" applyNumberFormat="1" applyFont="1" applyFill="1" applyBorder="1" applyAlignment="1">
      <alignment horizontal="left" vertical="center" wrapText="1"/>
    </xf>
    <xf numFmtId="0" fontId="0" fillId="0" borderId="3" xfId="0" applyFill="1" applyBorder="1" applyAlignment="1">
      <alignment vertical="center"/>
    </xf>
    <xf numFmtId="0" fontId="0" fillId="0" borderId="6" xfId="0" applyFill="1" applyBorder="1" applyAlignment="1">
      <alignment vertical="center"/>
    </xf>
    <xf numFmtId="0" fontId="0" fillId="0" borderId="6" xfId="0" applyFill="1" applyBorder="1" applyAlignment="1">
      <alignment horizontal="center" vertical="center"/>
    </xf>
    <xf numFmtId="0" fontId="4" fillId="2" borderId="3" xfId="0" applyFont="1" applyFill="1" applyBorder="1" applyAlignment="1">
      <alignment horizontal="center"/>
    </xf>
    <xf numFmtId="2" fontId="4" fillId="3" borderId="5" xfId="0" applyNumberFormat="1" applyFont="1" applyFill="1" applyBorder="1" applyAlignment="1">
      <alignment horizontal="center" vertical="center"/>
    </xf>
    <xf numFmtId="2" fontId="4" fillId="3" borderId="12" xfId="0" applyNumberFormat="1" applyFont="1" applyFill="1" applyBorder="1" applyAlignment="1">
      <alignment horizontal="center" vertical="center"/>
    </xf>
    <xf numFmtId="2" fontId="4" fillId="2" borderId="5" xfId="0" applyNumberFormat="1" applyFont="1" applyFill="1" applyBorder="1" applyAlignment="1">
      <alignment horizontal="center" vertical="center"/>
    </xf>
    <xf numFmtId="4" fontId="19" fillId="0" borderId="7" xfId="0" applyNumberFormat="1" applyFont="1" applyFill="1" applyBorder="1" applyAlignment="1">
      <alignment horizontal="center" vertical="center"/>
    </xf>
    <xf numFmtId="0" fontId="19" fillId="0" borderId="3" xfId="0" applyNumberFormat="1" applyFont="1" applyFill="1" applyBorder="1" applyAlignment="1">
      <alignment horizontal="center" vertical="center"/>
    </xf>
    <xf numFmtId="0" fontId="49" fillId="0" borderId="3" xfId="0" applyFont="1" applyFill="1" applyBorder="1" applyAlignment="1">
      <alignment horizontal="center" vertical="center" wrapText="1"/>
    </xf>
    <xf numFmtId="2" fontId="4" fillId="0" borderId="5" xfId="0" applyNumberFormat="1" applyFont="1" applyFill="1" applyBorder="1" applyAlignment="1">
      <alignment horizontal="center" vertical="center"/>
    </xf>
    <xf numFmtId="2" fontId="4" fillId="0" borderId="48" xfId="0" applyNumberFormat="1" applyFont="1" applyFill="1" applyBorder="1" applyAlignment="1">
      <alignment horizontal="center" vertical="center"/>
    </xf>
    <xf numFmtId="2" fontId="4" fillId="0" borderId="49" xfId="0" applyNumberFormat="1" applyFont="1" applyFill="1" applyBorder="1" applyAlignment="1">
      <alignment horizontal="center" vertical="center"/>
    </xf>
    <xf numFmtId="2" fontId="4" fillId="0" borderId="12" xfId="0" applyNumberFormat="1" applyFont="1" applyFill="1" applyBorder="1" applyAlignment="1">
      <alignment horizontal="center" vertical="center"/>
    </xf>
    <xf numFmtId="0" fontId="19" fillId="0" borderId="32" xfId="0" applyFont="1" applyFill="1" applyBorder="1" applyAlignment="1">
      <alignment horizontal="center" vertical="center" wrapText="1"/>
    </xf>
    <xf numFmtId="3" fontId="4" fillId="0" borderId="26" xfId="0" applyNumberFormat="1" applyFont="1" applyFill="1" applyBorder="1" applyAlignment="1">
      <alignment horizontal="center" vertical="center"/>
    </xf>
    <xf numFmtId="0" fontId="19" fillId="0" borderId="4" xfId="0" applyFont="1" applyFill="1" applyBorder="1" applyAlignment="1">
      <alignment horizontal="center" vertical="center"/>
    </xf>
    <xf numFmtId="0" fontId="19" fillId="0" borderId="7" xfId="0" applyFont="1" applyFill="1" applyBorder="1" applyAlignment="1">
      <alignment horizontal="center" vertical="center"/>
    </xf>
    <xf numFmtId="0" fontId="57" fillId="0" borderId="0" xfId="0" applyFont="1" applyFill="1" applyAlignment="1">
      <alignment horizontal="right" vertical="center"/>
    </xf>
    <xf numFmtId="0" fontId="19" fillId="2" borderId="0" xfId="0" applyFont="1" applyFill="1" applyAlignment="1">
      <alignment horizontal="center" vertical="center"/>
    </xf>
    <xf numFmtId="14" fontId="2" fillId="0" borderId="0" xfId="0" applyNumberFormat="1" applyFont="1" applyFill="1" applyAlignment="1">
      <alignment horizontal="center" vertical="center"/>
    </xf>
    <xf numFmtId="0" fontId="4" fillId="0" borderId="4" xfId="0" applyFont="1" applyBorder="1" applyAlignment="1">
      <alignment horizontal="left" vertical="center"/>
    </xf>
    <xf numFmtId="0" fontId="13" fillId="0" borderId="0" xfId="0" applyFont="1" applyFill="1" applyBorder="1" applyAlignment="1">
      <alignment horizontal="left" vertical="center"/>
    </xf>
    <xf numFmtId="0" fontId="2" fillId="0" borderId="3" xfId="0" applyFont="1" applyFill="1" applyBorder="1" applyAlignment="1">
      <alignment horizontal="center"/>
    </xf>
    <xf numFmtId="1" fontId="2" fillId="0" borderId="0" xfId="0" applyNumberFormat="1" applyFont="1" applyFill="1" applyBorder="1"/>
    <xf numFmtId="0" fontId="19" fillId="0" borderId="0" xfId="0" applyFont="1" applyFill="1" applyBorder="1" applyAlignment="1">
      <alignment horizontal="left" vertical="center"/>
    </xf>
    <xf numFmtId="0" fontId="4" fillId="0" borderId="4" xfId="0" applyFont="1" applyBorder="1" applyAlignment="1"/>
    <xf numFmtId="0" fontId="4" fillId="0" borderId="4" xfId="0" applyFont="1" applyBorder="1" applyAlignment="1">
      <alignment horizontal="center"/>
    </xf>
    <xf numFmtId="0" fontId="4" fillId="0" borderId="8" xfId="0" applyFont="1" applyBorder="1" applyAlignment="1"/>
    <xf numFmtId="0" fontId="73" fillId="0" borderId="3" xfId="0" applyNumberFormat="1" applyFont="1" applyFill="1" applyBorder="1" applyAlignment="1">
      <alignment horizontal="left" vertical="center" wrapText="1"/>
    </xf>
    <xf numFmtId="0" fontId="4" fillId="2" borderId="4" xfId="0" applyFont="1" applyFill="1" applyBorder="1" applyAlignment="1">
      <alignment horizontal="center" vertical="center"/>
    </xf>
    <xf numFmtId="0" fontId="4" fillId="0" borderId="11" xfId="0" applyFont="1" applyBorder="1" applyAlignment="1"/>
    <xf numFmtId="3" fontId="4" fillId="0" borderId="0" xfId="0" applyNumberFormat="1" applyFont="1" applyFill="1" applyBorder="1" applyAlignment="1">
      <alignment vertical="center"/>
    </xf>
    <xf numFmtId="0" fontId="19" fillId="2" borderId="12" xfId="0" applyFont="1" applyFill="1" applyBorder="1" applyAlignment="1">
      <alignment horizontal="center" vertical="center" wrapText="1"/>
    </xf>
    <xf numFmtId="14" fontId="19" fillId="0" borderId="34" xfId="0" applyNumberFormat="1" applyFont="1" applyFill="1" applyBorder="1" applyAlignment="1">
      <alignment vertical="center"/>
    </xf>
    <xf numFmtId="0" fontId="13" fillId="11" borderId="4" xfId="0" applyFont="1" applyFill="1" applyBorder="1" applyAlignment="1">
      <alignment horizontal="center" vertical="center" wrapText="1"/>
    </xf>
    <xf numFmtId="0" fontId="4" fillId="0" borderId="7" xfId="0" applyFont="1" applyBorder="1" applyAlignment="1">
      <alignment vertical="center" wrapText="1"/>
    </xf>
    <xf numFmtId="0" fontId="2" fillId="0" borderId="36" xfId="0" applyFont="1" applyBorder="1" applyAlignment="1">
      <alignment vertical="center" wrapText="1"/>
    </xf>
    <xf numFmtId="0" fontId="2" fillId="0" borderId="29" xfId="0" applyFont="1" applyBorder="1" applyAlignment="1">
      <alignment vertical="center" wrapText="1"/>
    </xf>
    <xf numFmtId="0" fontId="2" fillId="0" borderId="37" xfId="0" applyFont="1" applyBorder="1" applyAlignment="1">
      <alignment vertical="center" wrapText="1"/>
    </xf>
    <xf numFmtId="0" fontId="19" fillId="2" borderId="0" xfId="0" applyFont="1" applyFill="1" applyAlignment="1">
      <alignment horizontal="center" vertical="center" wrapText="1"/>
    </xf>
    <xf numFmtId="0" fontId="13" fillId="3" borderId="3" xfId="0" applyFont="1" applyFill="1" applyBorder="1" applyAlignment="1">
      <alignment horizontal="center" vertical="center" wrapText="1"/>
    </xf>
    <xf numFmtId="0" fontId="49" fillId="17" borderId="4" xfId="0" applyNumberFormat="1" applyFont="1" applyFill="1" applyBorder="1" applyAlignment="1">
      <alignment horizontal="center" vertical="center" wrapText="1"/>
    </xf>
    <xf numFmtId="0" fontId="49" fillId="17" borderId="3" xfId="0" applyNumberFormat="1" applyFont="1" applyFill="1" applyBorder="1" applyAlignment="1">
      <alignment horizontal="center" vertical="center" wrapText="1"/>
    </xf>
    <xf numFmtId="0" fontId="4" fillId="18" borderId="3" xfId="3" applyFont="1" applyFill="1" applyBorder="1" applyAlignment="1">
      <alignment vertical="center" wrapText="1"/>
    </xf>
    <xf numFmtId="0" fontId="19" fillId="17" borderId="3" xfId="0" applyFont="1" applyFill="1" applyBorder="1" applyAlignment="1">
      <alignment horizontal="center" vertical="center" wrapText="1"/>
    </xf>
    <xf numFmtId="0" fontId="4" fillId="19" borderId="4" xfId="0" applyFont="1" applyFill="1" applyBorder="1" applyAlignment="1" applyProtection="1">
      <alignment horizontal="center" vertical="center" wrapText="1"/>
    </xf>
    <xf numFmtId="0" fontId="4" fillId="19" borderId="3" xfId="0" applyFont="1" applyFill="1" applyBorder="1" applyAlignment="1" applyProtection="1">
      <alignment horizontal="center" vertical="center" wrapText="1"/>
    </xf>
    <xf numFmtId="2" fontId="4" fillId="17" borderId="3" xfId="0" applyNumberFormat="1" applyFont="1" applyFill="1" applyBorder="1" applyAlignment="1">
      <alignment horizontal="center" vertical="center"/>
    </xf>
    <xf numFmtId="0" fontId="4" fillId="19" borderId="4" xfId="0" applyFont="1" applyFill="1" applyBorder="1" applyAlignment="1" applyProtection="1">
      <alignment horizontal="center" vertical="center"/>
    </xf>
    <xf numFmtId="0" fontId="4" fillId="19" borderId="0" xfId="0" applyFont="1" applyFill="1" applyBorder="1" applyAlignment="1" applyProtection="1">
      <alignment horizontal="center" vertical="center"/>
    </xf>
    <xf numFmtId="0" fontId="4" fillId="19" borderId="3" xfId="0" applyFont="1" applyFill="1" applyBorder="1" applyAlignment="1">
      <alignment vertical="center" wrapText="1"/>
    </xf>
    <xf numFmtId="2" fontId="4" fillId="19" borderId="3" xfId="0" applyNumberFormat="1" applyFont="1" applyFill="1" applyBorder="1" applyAlignment="1">
      <alignment horizontal="center" vertical="center"/>
    </xf>
    <xf numFmtId="2" fontId="2" fillId="19" borderId="3" xfId="0" applyNumberFormat="1" applyFont="1" applyFill="1" applyBorder="1" applyAlignment="1">
      <alignment horizontal="center" vertical="center" wrapText="1"/>
    </xf>
    <xf numFmtId="0" fontId="4" fillId="0" borderId="0" xfId="0" applyFont="1" applyAlignment="1">
      <alignment horizontal="left"/>
    </xf>
    <xf numFmtId="0" fontId="4" fillId="0" borderId="0" xfId="0" applyFont="1" applyAlignment="1">
      <alignment horizontal="left" vertical="center"/>
    </xf>
    <xf numFmtId="0" fontId="75" fillId="0" borderId="0" xfId="0" applyFont="1"/>
    <xf numFmtId="0" fontId="2" fillId="0" borderId="0" xfId="0" applyFont="1" applyBorder="1" applyAlignment="1">
      <alignment horizontal="center" vertical="top"/>
    </xf>
    <xf numFmtId="0" fontId="2" fillId="0" borderId="0" xfId="0" applyFont="1" applyBorder="1" applyAlignment="1">
      <alignment horizontal="left" vertical="top"/>
    </xf>
    <xf numFmtId="0" fontId="78" fillId="0" borderId="0" xfId="0" applyFont="1" applyAlignment="1">
      <alignment horizontal="left" vertical="top"/>
    </xf>
    <xf numFmtId="0" fontId="78" fillId="0" borderId="0" xfId="0" applyFont="1" applyBorder="1" applyAlignment="1">
      <alignment horizontal="left" vertical="top"/>
    </xf>
    <xf numFmtId="0" fontId="79" fillId="0" borderId="0" xfId="0" applyFont="1" applyBorder="1"/>
    <xf numFmtId="0" fontId="80" fillId="0" borderId="0" xfId="0" applyFont="1" applyBorder="1"/>
    <xf numFmtId="0" fontId="76" fillId="0" borderId="0" xfId="0" applyFont="1" applyBorder="1" applyAlignment="1">
      <alignment horizontal="left" vertical="top"/>
    </xf>
    <xf numFmtId="0" fontId="77" fillId="0" borderId="0" xfId="0" applyFont="1"/>
    <xf numFmtId="0" fontId="2" fillId="0" borderId="0" xfId="0" applyFont="1" applyAlignment="1">
      <alignment horizontal="left" vertical="center" wrapText="1"/>
    </xf>
    <xf numFmtId="0" fontId="7" fillId="0" borderId="0" xfId="3" applyFont="1" applyAlignment="1">
      <alignment horizontal="left" vertical="center"/>
    </xf>
    <xf numFmtId="0" fontId="59" fillId="0" borderId="0" xfId="0" applyFont="1" applyBorder="1" applyAlignment="1">
      <alignment horizontal="left" vertical="center"/>
    </xf>
    <xf numFmtId="0" fontId="59" fillId="0" borderId="47" xfId="0" applyFont="1" applyBorder="1" applyAlignment="1">
      <alignment horizontal="left" vertical="center"/>
    </xf>
    <xf numFmtId="0" fontId="7" fillId="0" borderId="0" xfId="3" applyFont="1" applyBorder="1" applyAlignment="1">
      <alignment horizontal="left" vertical="center"/>
    </xf>
    <xf numFmtId="0" fontId="6" fillId="0" borderId="0" xfId="3" applyFont="1" applyBorder="1" applyAlignment="1">
      <alignment horizontal="left" vertical="center" wrapText="1"/>
    </xf>
    <xf numFmtId="0" fontId="3" fillId="0" borderId="38" xfId="0" applyFont="1" applyFill="1" applyBorder="1" applyAlignment="1">
      <alignment horizontal="center"/>
    </xf>
    <xf numFmtId="0" fontId="2" fillId="0" borderId="33" xfId="0" applyFont="1" applyFill="1" applyBorder="1" applyAlignment="1">
      <alignment horizontal="center" vertical="center"/>
    </xf>
    <xf numFmtId="2" fontId="8" fillId="0" borderId="38" xfId="0" applyNumberFormat="1" applyFont="1" applyBorder="1" applyAlignment="1">
      <alignment horizontal="center"/>
    </xf>
    <xf numFmtId="0" fontId="9" fillId="0" borderId="0" xfId="3" applyFont="1" applyAlignment="1">
      <alignment horizontal="center" vertical="center"/>
    </xf>
    <xf numFmtId="0" fontId="4" fillId="0" borderId="0" xfId="0" applyFont="1" applyAlignment="1">
      <alignment horizontal="center" vertical="center"/>
    </xf>
    <xf numFmtId="0" fontId="6" fillId="0" borderId="0" xfId="3" applyFont="1" applyAlignment="1">
      <alignment vertical="center"/>
    </xf>
    <xf numFmtId="0" fontId="59" fillId="0" borderId="46" xfId="0" applyFont="1" applyBorder="1" applyAlignment="1">
      <alignment horizontal="left" vertical="center"/>
    </xf>
    <xf numFmtId="0" fontId="2" fillId="0" borderId="0" xfId="0" applyFont="1" applyAlignment="1">
      <alignment horizontal="center" vertical="center"/>
    </xf>
    <xf numFmtId="0" fontId="10" fillId="0" borderId="0" xfId="3" applyNumberFormat="1" applyFont="1" applyFill="1" applyBorder="1" applyAlignment="1" applyProtection="1">
      <alignment horizontal="center" vertical="center"/>
    </xf>
    <xf numFmtId="0" fontId="2" fillId="0" borderId="0" xfId="0" applyFont="1" applyBorder="1" applyAlignment="1">
      <alignment horizontal="center" vertical="center"/>
    </xf>
    <xf numFmtId="0" fontId="6" fillId="0" borderId="0" xfId="3" applyFont="1" applyAlignment="1">
      <alignment horizontal="left" vertical="center"/>
    </xf>
    <xf numFmtId="0" fontId="47" fillId="0" borderId="46" xfId="0" applyFont="1" applyBorder="1" applyAlignment="1">
      <alignment horizontal="right" vertical="center"/>
    </xf>
    <xf numFmtId="0" fontId="47" fillId="0" borderId="0" xfId="0" applyFont="1" applyBorder="1" applyAlignment="1">
      <alignment horizontal="right" vertical="center"/>
    </xf>
    <xf numFmtId="0" fontId="47" fillId="0" borderId="47" xfId="0" applyFont="1" applyBorder="1" applyAlignment="1">
      <alignment horizontal="right" vertical="center"/>
    </xf>
    <xf numFmtId="0" fontId="7" fillId="0" borderId="0" xfId="3" applyFont="1" applyAlignment="1">
      <alignment vertical="center" wrapText="1"/>
    </xf>
    <xf numFmtId="0" fontId="6" fillId="0" borderId="0" xfId="3" applyFont="1" applyAlignment="1">
      <alignment vertical="center" wrapText="1"/>
    </xf>
    <xf numFmtId="0" fontId="7" fillId="0" borderId="0" xfId="3" applyFont="1" applyBorder="1" applyAlignment="1">
      <alignment horizontal="left" vertical="center" wrapText="1"/>
    </xf>
    <xf numFmtId="0" fontId="7" fillId="0" borderId="0" xfId="3" applyFont="1" applyAlignment="1">
      <alignment horizontal="left" vertical="center" wrapText="1"/>
    </xf>
    <xf numFmtId="0" fontId="6" fillId="0" borderId="0" xfId="3" applyFont="1" applyAlignment="1">
      <alignment horizontal="left" vertical="center" wrapText="1"/>
    </xf>
    <xf numFmtId="0" fontId="12" fillId="0" borderId="0" xfId="3" applyFont="1" applyAlignment="1">
      <alignment horizontal="center" vertical="center"/>
    </xf>
    <xf numFmtId="0" fontId="4" fillId="0" borderId="0" xfId="0" applyFont="1" applyAlignment="1">
      <alignment horizontal="left" vertical="center" wrapText="1"/>
    </xf>
    <xf numFmtId="0" fontId="2" fillId="0" borderId="0" xfId="0" applyFont="1" applyAlignment="1">
      <alignment horizontal="left"/>
    </xf>
    <xf numFmtId="0" fontId="2" fillId="0" borderId="0" xfId="0" applyFont="1" applyAlignment="1">
      <alignment horizontal="center"/>
    </xf>
    <xf numFmtId="0" fontId="9" fillId="0" borderId="38" xfId="0" applyFont="1" applyBorder="1" applyAlignment="1">
      <alignment horizont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18" fillId="0" borderId="0" xfId="0" applyFont="1" applyBorder="1" applyAlignment="1">
      <alignment horizontal="center" vertical="center"/>
    </xf>
    <xf numFmtId="0" fontId="2" fillId="2" borderId="3" xfId="0" applyFont="1" applyFill="1" applyBorder="1" applyAlignment="1">
      <alignment horizontal="center" vertical="center"/>
    </xf>
    <xf numFmtId="0" fontId="2" fillId="2" borderId="3" xfId="0" applyFont="1" applyFill="1" applyBorder="1" applyAlignment="1">
      <alignment horizontal="center" vertical="center" wrapText="1"/>
    </xf>
    <xf numFmtId="0" fontId="13" fillId="2" borderId="3" xfId="0" applyFont="1" applyFill="1" applyBorder="1" applyAlignment="1">
      <alignment horizontal="left" vertical="center"/>
    </xf>
    <xf numFmtId="0" fontId="4" fillId="0" borderId="3" xfId="0" applyFont="1" applyBorder="1" applyAlignment="1">
      <alignment horizontal="left" vertical="center"/>
    </xf>
    <xf numFmtId="0" fontId="4" fillId="0" borderId="3" xfId="0" applyFont="1" applyBorder="1" applyAlignment="1">
      <alignment horizontal="center" vertical="center"/>
    </xf>
    <xf numFmtId="2" fontId="4" fillId="0" borderId="3" xfId="0" applyNumberFormat="1" applyFont="1" applyBorder="1" applyAlignment="1">
      <alignment horizontal="center" vertical="center"/>
    </xf>
    <xf numFmtId="0" fontId="19" fillId="2" borderId="3" xfId="0" applyFont="1" applyFill="1" applyBorder="1" applyAlignment="1">
      <alignment horizontal="left" vertical="center"/>
    </xf>
    <xf numFmtId="0" fontId="2" fillId="0" borderId="3" xfId="0" applyFont="1" applyFill="1" applyBorder="1" applyAlignment="1">
      <alignment horizontal="center" vertical="center"/>
    </xf>
    <xf numFmtId="2" fontId="4" fillId="0" borderId="3" xfId="0" applyNumberFormat="1" applyFont="1" applyFill="1" applyBorder="1" applyAlignment="1">
      <alignment horizontal="center" vertical="center"/>
    </xf>
    <xf numFmtId="0" fontId="4" fillId="0" borderId="5" xfId="0" applyFont="1" applyBorder="1" applyAlignment="1">
      <alignment horizontal="left" vertical="center"/>
    </xf>
    <xf numFmtId="0" fontId="4" fillId="0" borderId="12" xfId="0" applyFont="1" applyBorder="1" applyAlignment="1">
      <alignment horizontal="left" vertical="center"/>
    </xf>
    <xf numFmtId="0" fontId="20" fillId="0" borderId="3" xfId="0" applyFont="1" applyBorder="1" applyAlignment="1">
      <alignment vertical="center" wrapText="1"/>
    </xf>
    <xf numFmtId="0" fontId="13" fillId="2" borderId="4" xfId="0" applyFont="1" applyFill="1" applyBorder="1" applyAlignment="1">
      <alignment horizontal="left" vertical="center"/>
    </xf>
    <xf numFmtId="0" fontId="13" fillId="2" borderId="6" xfId="0" applyFont="1" applyFill="1" applyBorder="1" applyAlignment="1">
      <alignment horizontal="left" vertical="center"/>
    </xf>
    <xf numFmtId="0" fontId="13" fillId="2" borderId="7" xfId="0" applyFont="1" applyFill="1" applyBorder="1" applyAlignment="1">
      <alignment horizontal="left" vertical="center"/>
    </xf>
    <xf numFmtId="0" fontId="4" fillId="2" borderId="3" xfId="0" applyFont="1" applyFill="1" applyBorder="1" applyAlignment="1">
      <alignment horizontal="center" vertical="center"/>
    </xf>
    <xf numFmtId="0" fontId="4" fillId="2" borderId="3" xfId="0" applyFont="1" applyFill="1" applyBorder="1" applyAlignment="1">
      <alignment horizontal="center" vertical="center" wrapText="1"/>
    </xf>
    <xf numFmtId="0" fontId="4" fillId="0" borderId="3" xfId="0" applyFont="1" applyFill="1" applyBorder="1" applyAlignment="1">
      <alignment vertical="center"/>
    </xf>
    <xf numFmtId="0" fontId="4" fillId="0" borderId="3" xfId="0" applyNumberFormat="1" applyFont="1" applyFill="1" applyBorder="1" applyAlignment="1">
      <alignment horizontal="center" vertical="center"/>
    </xf>
    <xf numFmtId="0" fontId="4" fillId="0" borderId="3" xfId="0" applyFont="1" applyFill="1" applyBorder="1" applyAlignment="1">
      <alignment horizontal="left" vertical="center"/>
    </xf>
    <xf numFmtId="0" fontId="4" fillId="0" borderId="3" xfId="0" applyNumberFormat="1" applyFont="1" applyFill="1" applyBorder="1" applyAlignment="1">
      <alignment horizontal="center" vertical="center" wrapText="1"/>
    </xf>
    <xf numFmtId="0" fontId="51" fillId="0" borderId="14" xfId="0" applyFont="1" applyBorder="1" applyAlignment="1">
      <alignment horizontal="center" vertical="top"/>
    </xf>
    <xf numFmtId="0" fontId="4" fillId="2" borderId="4" xfId="0" applyFont="1" applyFill="1" applyBorder="1" applyAlignment="1">
      <alignment horizontal="center"/>
    </xf>
    <xf numFmtId="0" fontId="4" fillId="2" borderId="6" xfId="0" applyFont="1" applyFill="1" applyBorder="1" applyAlignment="1">
      <alignment horizontal="center"/>
    </xf>
    <xf numFmtId="0" fontId="4" fillId="2" borderId="7" xfId="0" applyFont="1" applyFill="1" applyBorder="1" applyAlignment="1">
      <alignment horizontal="center"/>
    </xf>
    <xf numFmtId="0" fontId="4" fillId="2" borderId="3" xfId="0" applyFont="1" applyFill="1" applyBorder="1" applyAlignment="1">
      <alignment horizontal="center" vertical="top"/>
    </xf>
    <xf numFmtId="0" fontId="4" fillId="0" borderId="4"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3" xfId="0" applyFont="1" applyBorder="1" applyAlignment="1">
      <alignment horizontal="center" vertical="top"/>
    </xf>
    <xf numFmtId="0" fontId="19" fillId="5" borderId="8"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19" fillId="5" borderId="22"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19" fillId="5" borderId="14" xfId="0" applyFont="1" applyFill="1" applyBorder="1" applyAlignment="1">
      <alignment horizontal="center" vertical="center" wrapText="1"/>
    </xf>
    <xf numFmtId="0" fontId="19" fillId="5" borderId="15" xfId="0" applyFont="1" applyFill="1" applyBorder="1" applyAlignment="1">
      <alignment horizontal="center" vertical="center" wrapText="1"/>
    </xf>
    <xf numFmtId="9" fontId="4" fillId="0" borderId="8" xfId="0" applyNumberFormat="1" applyFont="1" applyBorder="1" applyAlignment="1">
      <alignment horizontal="center" vertical="center"/>
    </xf>
    <xf numFmtId="9" fontId="4" fillId="0" borderId="9" xfId="0" applyNumberFormat="1" applyFont="1" applyBorder="1" applyAlignment="1">
      <alignment horizontal="center" vertical="center"/>
    </xf>
    <xf numFmtId="9" fontId="4" fillId="0" borderId="22" xfId="0" applyNumberFormat="1" applyFont="1" applyBorder="1" applyAlignment="1">
      <alignment horizontal="center" vertical="center"/>
    </xf>
    <xf numFmtId="9" fontId="4" fillId="0" borderId="11" xfId="0" applyNumberFormat="1" applyFont="1" applyBorder="1" applyAlignment="1">
      <alignment horizontal="center" vertical="center"/>
    </xf>
    <xf numFmtId="9" fontId="4" fillId="0" borderId="0" xfId="0" applyNumberFormat="1" applyFont="1" applyBorder="1" applyAlignment="1">
      <alignment horizontal="center" vertical="center"/>
    </xf>
    <xf numFmtId="9" fontId="4" fillId="0" borderId="32" xfId="0" applyNumberFormat="1" applyFont="1" applyBorder="1" applyAlignment="1">
      <alignment horizontal="center" vertical="center"/>
    </xf>
    <xf numFmtId="9" fontId="4" fillId="0" borderId="13" xfId="0" applyNumberFormat="1" applyFont="1" applyBorder="1" applyAlignment="1">
      <alignment horizontal="center" vertical="center"/>
    </xf>
    <xf numFmtId="9" fontId="4" fillId="0" borderId="14" xfId="0" applyNumberFormat="1" applyFont="1" applyBorder="1" applyAlignment="1">
      <alignment horizontal="center" vertical="center"/>
    </xf>
    <xf numFmtId="9" fontId="4" fillId="0" borderId="15" xfId="0" applyNumberFormat="1" applyFont="1" applyBorder="1" applyAlignment="1">
      <alignment horizontal="center" vertical="center"/>
    </xf>
    <xf numFmtId="9" fontId="4" fillId="0" borderId="5" xfId="0" applyNumberFormat="1" applyFont="1" applyBorder="1" applyAlignment="1">
      <alignment horizontal="center" vertical="center"/>
    </xf>
    <xf numFmtId="9" fontId="4" fillId="0" borderId="10" xfId="0" applyNumberFormat="1" applyFont="1" applyBorder="1" applyAlignment="1">
      <alignment horizontal="center" vertical="center"/>
    </xf>
    <xf numFmtId="0" fontId="19" fillId="5" borderId="4"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7" xfId="0" applyFont="1" applyFill="1" applyBorder="1" applyAlignment="1">
      <alignment horizontal="center" vertical="center"/>
    </xf>
    <xf numFmtId="1" fontId="4" fillId="0" borderId="4" xfId="0" applyNumberFormat="1" applyFont="1" applyFill="1" applyBorder="1" applyAlignment="1">
      <alignment horizontal="left" vertical="center"/>
    </xf>
    <xf numFmtId="1" fontId="4" fillId="0" borderId="6" xfId="0" applyNumberFormat="1" applyFont="1" applyFill="1" applyBorder="1" applyAlignment="1">
      <alignment horizontal="left" vertical="center"/>
    </xf>
    <xf numFmtId="1" fontId="4" fillId="0" borderId="7" xfId="0" applyNumberFormat="1" applyFont="1" applyFill="1" applyBorder="1" applyAlignment="1">
      <alignment horizontal="left" vertical="center"/>
    </xf>
    <xf numFmtId="0" fontId="19" fillId="0" borderId="3" xfId="0" applyFont="1" applyBorder="1" applyAlignment="1">
      <alignment horizontal="left" vertical="center"/>
    </xf>
    <xf numFmtId="9" fontId="4" fillId="0" borderId="3" xfId="0" applyNumberFormat="1" applyFont="1" applyBorder="1" applyAlignment="1">
      <alignment horizontal="center" vertical="center"/>
    </xf>
    <xf numFmtId="0" fontId="4" fillId="0" borderId="3" xfId="0" applyFont="1" applyBorder="1" applyAlignment="1">
      <alignment horizontal="left" vertical="center" wrapText="1"/>
    </xf>
    <xf numFmtId="0" fontId="19" fillId="5" borderId="8" xfId="0" applyFont="1" applyFill="1" applyBorder="1" applyAlignment="1">
      <alignment horizontal="left" vertical="center"/>
    </xf>
    <xf numFmtId="0" fontId="19" fillId="5" borderId="9" xfId="0" applyFont="1" applyFill="1" applyBorder="1" applyAlignment="1">
      <alignment horizontal="left" vertical="center"/>
    </xf>
    <xf numFmtId="0" fontId="19" fillId="5" borderId="22" xfId="0" applyFont="1" applyFill="1" applyBorder="1" applyAlignment="1">
      <alignment horizontal="left" vertical="center"/>
    </xf>
    <xf numFmtId="0" fontId="19" fillId="5" borderId="13" xfId="0" applyFont="1" applyFill="1" applyBorder="1" applyAlignment="1">
      <alignment horizontal="left" vertical="center"/>
    </xf>
    <xf numFmtId="0" fontId="19" fillId="5" borderId="14" xfId="0" applyFont="1" applyFill="1" applyBorder="1" applyAlignment="1">
      <alignment horizontal="left" vertical="center"/>
    </xf>
    <xf numFmtId="0" fontId="19" fillId="5" borderId="15" xfId="0" applyFont="1" applyFill="1" applyBorder="1" applyAlignment="1">
      <alignment horizontal="left" vertical="center"/>
    </xf>
    <xf numFmtId="0" fontId="19" fillId="5" borderId="3"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9" fillId="5" borderId="12"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7" xfId="0" applyFont="1" applyFill="1" applyBorder="1" applyAlignment="1">
      <alignment horizontal="center" vertical="center" wrapText="1"/>
    </xf>
    <xf numFmtId="0" fontId="4" fillId="3" borderId="3" xfId="0" applyFont="1" applyFill="1" applyBorder="1" applyAlignment="1">
      <alignment horizontal="left" vertical="center"/>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3" borderId="4"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4" fillId="0" borderId="3" xfId="0" applyFont="1" applyFill="1" applyBorder="1" applyAlignment="1">
      <alignment horizontal="left" vertical="center" wrapText="1"/>
    </xf>
    <xf numFmtId="0" fontId="19" fillId="4" borderId="3" xfId="0" applyFont="1" applyFill="1" applyBorder="1" applyAlignment="1">
      <alignment horizontal="center" vertical="center"/>
    </xf>
    <xf numFmtId="0" fontId="19" fillId="4" borderId="4" xfId="0" applyFont="1" applyFill="1" applyBorder="1" applyAlignment="1">
      <alignment horizontal="center" vertical="center"/>
    </xf>
    <xf numFmtId="0" fontId="19" fillId="4" borderId="6" xfId="0" applyFont="1" applyFill="1" applyBorder="1" applyAlignment="1">
      <alignment horizontal="center" vertical="center"/>
    </xf>
    <xf numFmtId="0" fontId="19" fillId="4" borderId="7" xfId="0" applyFont="1" applyFill="1" applyBorder="1" applyAlignment="1">
      <alignment horizontal="center" vertical="center"/>
    </xf>
    <xf numFmtId="0" fontId="4" fillId="0" borderId="4"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3" xfId="0" applyFont="1" applyBorder="1" applyAlignment="1">
      <alignment horizontal="left" vertical="top" wrapText="1"/>
    </xf>
    <xf numFmtId="0" fontId="0" fillId="0" borderId="9" xfId="0" applyBorder="1"/>
    <xf numFmtId="0" fontId="0" fillId="0" borderId="22" xfId="0" applyBorder="1"/>
    <xf numFmtId="0" fontId="0" fillId="0" borderId="13" xfId="0" applyBorder="1"/>
    <xf numFmtId="0" fontId="0" fillId="0" borderId="14" xfId="0" applyBorder="1"/>
    <xf numFmtId="0" fontId="0" fillId="0" borderId="15" xfId="0" applyBorder="1"/>
    <xf numFmtId="0" fontId="4" fillId="0" borderId="4" xfId="0" applyFont="1" applyFill="1" applyBorder="1" applyAlignment="1">
      <alignment horizontal="left" vertical="center"/>
    </xf>
    <xf numFmtId="0" fontId="4" fillId="0" borderId="6" xfId="0" applyFont="1" applyFill="1" applyBorder="1" applyAlignment="1">
      <alignment horizontal="left" vertical="center"/>
    </xf>
    <xf numFmtId="0" fontId="4" fillId="0" borderId="7" xfId="0" applyFont="1" applyFill="1" applyBorder="1" applyAlignment="1">
      <alignment horizontal="left"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22" xfId="0" applyFont="1" applyBorder="1" applyAlignment="1">
      <alignment horizontal="center" vertical="center"/>
    </xf>
    <xf numFmtId="0" fontId="4" fillId="0" borderId="11" xfId="0" applyFont="1" applyBorder="1" applyAlignment="1">
      <alignment horizontal="center" vertical="center"/>
    </xf>
    <xf numFmtId="0" fontId="4" fillId="0" borderId="0" xfId="0" applyFont="1" applyBorder="1" applyAlignment="1">
      <alignment horizontal="center" vertical="center"/>
    </xf>
    <xf numFmtId="0" fontId="4" fillId="0" borderId="3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3" borderId="3" xfId="0" applyFont="1" applyFill="1" applyBorder="1" applyAlignment="1">
      <alignment horizontal="left" vertical="center" wrapText="1"/>
    </xf>
    <xf numFmtId="0" fontId="19" fillId="4" borderId="4" xfId="0" applyFont="1" applyFill="1" applyBorder="1" applyAlignment="1">
      <alignment horizontal="center" vertical="center" wrapText="1"/>
    </xf>
    <xf numFmtId="0" fontId="19" fillId="4" borderId="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2" borderId="4" xfId="0" applyFont="1" applyFill="1" applyBorder="1" applyAlignment="1">
      <alignment horizontal="center"/>
    </xf>
    <xf numFmtId="0" fontId="19" fillId="2" borderId="6" xfId="0" applyFont="1" applyFill="1" applyBorder="1" applyAlignment="1">
      <alignment horizontal="center"/>
    </xf>
    <xf numFmtId="0" fontId="19" fillId="2" borderId="7" xfId="0" applyFont="1" applyFill="1" applyBorder="1" applyAlignment="1">
      <alignment horizontal="center"/>
    </xf>
    <xf numFmtId="0" fontId="4" fillId="0" borderId="4" xfId="0" applyFont="1" applyBorder="1" applyAlignment="1">
      <alignment vertical="center"/>
    </xf>
    <xf numFmtId="0" fontId="4" fillId="0" borderId="6" xfId="0" applyFont="1" applyBorder="1" applyAlignment="1">
      <alignment vertical="center"/>
    </xf>
    <xf numFmtId="0" fontId="4" fillId="0" borderId="3" xfId="0" applyFont="1" applyFill="1" applyBorder="1" applyAlignment="1">
      <alignment horizontal="center" vertical="center"/>
    </xf>
    <xf numFmtId="9" fontId="4" fillId="0" borderId="3" xfId="0" applyNumberFormat="1" applyFont="1" applyFill="1" applyBorder="1" applyAlignment="1">
      <alignment horizontal="center" vertical="center"/>
    </xf>
    <xf numFmtId="0" fontId="19" fillId="17" borderId="3" xfId="0" applyFont="1" applyFill="1" applyBorder="1" applyAlignment="1">
      <alignment horizontal="center" vertical="center" wrapText="1"/>
    </xf>
    <xf numFmtId="0" fontId="4" fillId="3" borderId="8" xfId="0" applyFont="1" applyFill="1" applyBorder="1" applyAlignment="1">
      <alignment horizontal="left" vertical="center" wrapText="1"/>
    </xf>
    <xf numFmtId="0" fontId="4" fillId="3" borderId="9" xfId="0" applyFont="1" applyFill="1" applyBorder="1" applyAlignment="1">
      <alignment horizontal="left" vertical="center" wrapText="1"/>
    </xf>
    <xf numFmtId="0" fontId="4" fillId="3" borderId="22" xfId="0" applyFont="1" applyFill="1" applyBorder="1" applyAlignment="1">
      <alignment horizontal="left" vertical="center" wrapText="1"/>
    </xf>
    <xf numFmtId="0" fontId="4" fillId="3" borderId="11"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3" borderId="32" xfId="0" applyFont="1" applyFill="1" applyBorder="1" applyAlignment="1">
      <alignment horizontal="left" vertical="center" wrapText="1"/>
    </xf>
    <xf numFmtId="0" fontId="4" fillId="3" borderId="13" xfId="0" applyFont="1" applyFill="1" applyBorder="1" applyAlignment="1">
      <alignment horizontal="left" vertical="center" wrapText="1"/>
    </xf>
    <xf numFmtId="0" fontId="4" fillId="3" borderId="14" xfId="0" applyFont="1" applyFill="1" applyBorder="1" applyAlignment="1">
      <alignment horizontal="left" vertical="center" wrapText="1"/>
    </xf>
    <xf numFmtId="0" fontId="4" fillId="3" borderId="15" xfId="0" applyFont="1" applyFill="1" applyBorder="1" applyAlignment="1">
      <alignment horizontal="left" vertical="center" wrapText="1"/>
    </xf>
    <xf numFmtId="0" fontId="19" fillId="4" borderId="3" xfId="0" applyFont="1" applyFill="1" applyBorder="1" applyAlignment="1">
      <alignment horizontal="center" vertical="center" wrapText="1"/>
    </xf>
    <xf numFmtId="0" fontId="4" fillId="0" borderId="8" xfId="0" applyFont="1" applyBorder="1" applyAlignment="1">
      <alignment horizontal="center" vertical="center" wrapText="1"/>
    </xf>
    <xf numFmtId="0" fontId="0" fillId="0" borderId="11" xfId="0" applyBorder="1"/>
    <xf numFmtId="0" fontId="0" fillId="0" borderId="0" xfId="0"/>
    <xf numFmtId="0" fontId="0" fillId="0" borderId="32" xfId="0" applyBorder="1"/>
    <xf numFmtId="0" fontId="22" fillId="0" borderId="3" xfId="0" applyFont="1" applyFill="1" applyBorder="1"/>
    <xf numFmtId="0" fontId="19" fillId="4" borderId="3" xfId="0" applyFont="1" applyFill="1" applyBorder="1" applyAlignment="1">
      <alignment vertical="center"/>
    </xf>
    <xf numFmtId="1" fontId="4" fillId="0" borderId="3" xfId="0" applyNumberFormat="1" applyFont="1" applyFill="1" applyBorder="1" applyAlignment="1">
      <alignment horizontal="left" vertical="center" wrapText="1"/>
    </xf>
    <xf numFmtId="1" fontId="4" fillId="3" borderId="4" xfId="0" applyNumberFormat="1" applyFont="1" applyFill="1" applyBorder="1" applyAlignment="1">
      <alignment horizontal="left" vertical="center"/>
    </xf>
    <xf numFmtId="1" fontId="4" fillId="3" borderId="6" xfId="0" applyNumberFormat="1" applyFont="1" applyFill="1" applyBorder="1" applyAlignment="1">
      <alignment horizontal="left" vertical="center"/>
    </xf>
    <xf numFmtId="1" fontId="4" fillId="3" borderId="7" xfId="0" applyNumberFormat="1" applyFont="1" applyFill="1" applyBorder="1" applyAlignment="1">
      <alignment horizontal="left" vertical="center"/>
    </xf>
    <xf numFmtId="0" fontId="4" fillId="0" borderId="4"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wrapText="1"/>
    </xf>
    <xf numFmtId="0" fontId="4" fillId="0" borderId="9" xfId="0" applyFont="1" applyFill="1" applyBorder="1" applyAlignment="1">
      <alignment horizontal="left" wrapText="1"/>
    </xf>
    <xf numFmtId="0" fontId="4" fillId="0" borderId="22" xfId="0" applyFont="1" applyFill="1" applyBorder="1" applyAlignment="1">
      <alignment horizontal="left" wrapText="1"/>
    </xf>
    <xf numFmtId="0" fontId="4" fillId="0" borderId="13" xfId="0" applyFont="1" applyFill="1" applyBorder="1" applyAlignment="1">
      <alignment horizontal="left" wrapText="1"/>
    </xf>
    <xf numFmtId="0" fontId="4" fillId="0" borderId="14" xfId="0" applyFont="1" applyFill="1" applyBorder="1" applyAlignment="1">
      <alignment horizontal="left" wrapText="1"/>
    </xf>
    <xf numFmtId="0" fontId="4" fillId="0" borderId="15" xfId="0" applyFont="1" applyFill="1" applyBorder="1" applyAlignment="1">
      <alignment horizontal="left" wrapText="1"/>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32"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3" xfId="0" applyFont="1" applyFill="1" applyBorder="1" applyAlignment="1">
      <alignment horizontal="left" wrapText="1"/>
    </xf>
    <xf numFmtId="0" fontId="19" fillId="0" borderId="4" xfId="0" applyFont="1" applyFill="1" applyBorder="1" applyAlignment="1">
      <alignment horizontal="left" vertical="center" wrapText="1"/>
    </xf>
    <xf numFmtId="0" fontId="0" fillId="0" borderId="6" xfId="0" applyBorder="1"/>
    <xf numFmtId="0" fontId="0" fillId="0" borderId="7" xfId="0" applyBorder="1"/>
    <xf numFmtId="1" fontId="19" fillId="3" borderId="4" xfId="0" applyNumberFormat="1" applyFont="1" applyFill="1" applyBorder="1" applyAlignment="1">
      <alignment horizontal="left" vertical="center"/>
    </xf>
    <xf numFmtId="1" fontId="19" fillId="3" borderId="6" xfId="0" applyNumberFormat="1" applyFont="1" applyFill="1" applyBorder="1" applyAlignment="1">
      <alignment horizontal="left" vertical="center"/>
    </xf>
    <xf numFmtId="1" fontId="19" fillId="3" borderId="7" xfId="0" applyNumberFormat="1" applyFont="1" applyFill="1" applyBorder="1" applyAlignment="1">
      <alignment horizontal="left" vertical="center"/>
    </xf>
    <xf numFmtId="0" fontId="4" fillId="2" borderId="4"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4"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0" borderId="11"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2"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2"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19" fillId="0" borderId="5" xfId="0" applyFont="1" applyFill="1" applyBorder="1" applyAlignment="1">
      <alignment horizontal="center" vertical="center" wrapText="1"/>
    </xf>
    <xf numFmtId="0" fontId="19" fillId="0" borderId="12" xfId="0" applyFont="1" applyFill="1" applyBorder="1" applyAlignment="1">
      <alignment horizontal="center" vertical="center" wrapText="1"/>
    </xf>
    <xf numFmtId="0" fontId="19" fillId="2" borderId="4" xfId="0" applyFont="1" applyFill="1" applyBorder="1" applyAlignment="1">
      <alignment horizontal="center" vertical="center"/>
    </xf>
    <xf numFmtId="0" fontId="0" fillId="2" borderId="6" xfId="0" applyFill="1" applyBorder="1"/>
    <xf numFmtId="0" fontId="0" fillId="2" borderId="7" xfId="0" applyFill="1" applyBorder="1"/>
    <xf numFmtId="0" fontId="4" fillId="0" borderId="10"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2" borderId="10" xfId="0" applyFont="1" applyFill="1" applyBorder="1" applyAlignment="1">
      <alignment horizontal="left" vertical="center"/>
    </xf>
    <xf numFmtId="0" fontId="4" fillId="2" borderId="12" xfId="0" applyFont="1" applyFill="1" applyBorder="1" applyAlignment="1">
      <alignment horizontal="left" vertical="center"/>
    </xf>
    <xf numFmtId="0" fontId="4" fillId="2" borderId="5"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19" fillId="0" borderId="4"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4"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3" borderId="5"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2" xfId="0" applyFont="1" applyFill="1" applyBorder="1" applyAlignment="1">
      <alignment horizontal="center" vertical="center"/>
    </xf>
    <xf numFmtId="0" fontId="19" fillId="2" borderId="6"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4"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5" fillId="0" borderId="0" xfId="3" applyFont="1" applyAlignment="1">
      <alignment horizontal="left"/>
    </xf>
    <xf numFmtId="0" fontId="9" fillId="0" borderId="38" xfId="0" applyFont="1" applyBorder="1" applyAlignment="1">
      <alignment horizontal="center" wrapText="1"/>
    </xf>
    <xf numFmtId="14" fontId="4" fillId="0" borderId="38" xfId="0" applyNumberFormat="1" applyFont="1" applyBorder="1" applyAlignment="1">
      <alignment horizontal="center" vertical="top"/>
    </xf>
    <xf numFmtId="14" fontId="40" fillId="0" borderId="14" xfId="0" applyNumberFormat="1" applyFont="1" applyBorder="1" applyAlignment="1">
      <alignment horizontal="center"/>
    </xf>
    <xf numFmtId="9" fontId="4" fillId="0" borderId="4" xfId="0" applyNumberFormat="1" applyFont="1" applyFill="1" applyBorder="1" applyAlignment="1">
      <alignment horizontal="center"/>
    </xf>
    <xf numFmtId="9" fontId="4" fillId="0" borderId="6" xfId="0" applyNumberFormat="1" applyFont="1" applyFill="1" applyBorder="1" applyAlignment="1">
      <alignment horizontal="center"/>
    </xf>
    <xf numFmtId="9" fontId="4" fillId="0" borderId="7" xfId="0" applyNumberFormat="1" applyFont="1" applyFill="1" applyBorder="1" applyAlignment="1">
      <alignment horizontal="center"/>
    </xf>
    <xf numFmtId="0" fontId="4" fillId="0" borderId="4"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19" fillId="2" borderId="3" xfId="0" applyFont="1" applyFill="1" applyBorder="1" applyAlignment="1">
      <alignment horizontal="center" vertical="center"/>
    </xf>
    <xf numFmtId="14" fontId="4" fillId="0" borderId="38" xfId="0" applyNumberFormat="1" applyFont="1" applyFill="1" applyBorder="1" applyAlignment="1">
      <alignment horizontal="center" vertical="top"/>
    </xf>
    <xf numFmtId="0" fontId="4" fillId="0" borderId="38" xfId="0" applyFont="1" applyFill="1" applyBorder="1" applyAlignment="1">
      <alignment horizontal="center" vertical="top"/>
    </xf>
    <xf numFmtId="14" fontId="40" fillId="0" borderId="0" xfId="0" applyNumberFormat="1" applyFont="1" applyFill="1" applyBorder="1" applyAlignment="1">
      <alignment horizontal="center"/>
    </xf>
    <xf numFmtId="0" fontId="19" fillId="2" borderId="5"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4" fillId="2" borderId="8" xfId="0" applyNumberFormat="1" applyFont="1" applyFill="1" applyBorder="1" applyAlignment="1">
      <alignment horizontal="center" vertical="center" wrapText="1"/>
    </xf>
    <xf numFmtId="0" fontId="4" fillId="2" borderId="9" xfId="0" applyNumberFormat="1" applyFont="1" applyFill="1" applyBorder="1" applyAlignment="1">
      <alignment horizontal="center" vertical="center" wrapText="1"/>
    </xf>
    <xf numFmtId="0" fontId="4" fillId="2" borderId="13" xfId="0" applyNumberFormat="1" applyFont="1" applyFill="1" applyBorder="1" applyAlignment="1">
      <alignment horizontal="center" vertical="center" wrapText="1"/>
    </xf>
    <xf numFmtId="0" fontId="4" fillId="2" borderId="14" xfId="0" applyNumberFormat="1"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4" fillId="11" borderId="3" xfId="0" applyFont="1" applyFill="1" applyBorder="1" applyAlignment="1">
      <alignment horizontal="left" vertical="center"/>
    </xf>
    <xf numFmtId="0" fontId="5" fillId="0" borderId="0" xfId="3" applyFill="1" applyAlignment="1">
      <alignment horizontal="left"/>
    </xf>
    <xf numFmtId="0" fontId="9" fillId="0" borderId="38" xfId="0" applyFont="1" applyFill="1" applyBorder="1" applyAlignment="1">
      <alignment horizontal="center" vertical="center" wrapText="1"/>
    </xf>
    <xf numFmtId="0" fontId="19" fillId="5" borderId="8" xfId="0" applyFont="1" applyFill="1" applyBorder="1" applyAlignment="1">
      <alignment horizontal="center" vertical="center"/>
    </xf>
    <xf numFmtId="0" fontId="19" fillId="5" borderId="9" xfId="0" applyFont="1" applyFill="1" applyBorder="1" applyAlignment="1">
      <alignment horizontal="center" vertical="center"/>
    </xf>
    <xf numFmtId="0" fontId="19" fillId="5" borderId="22" xfId="0" applyFont="1" applyFill="1" applyBorder="1" applyAlignment="1">
      <alignment horizontal="center" vertical="center"/>
    </xf>
    <xf numFmtId="0" fontId="19" fillId="5" borderId="13" xfId="0" applyFont="1" applyFill="1" applyBorder="1" applyAlignment="1">
      <alignment horizontal="center" vertical="center"/>
    </xf>
    <xf numFmtId="0" fontId="19" fillId="5" borderId="14" xfId="0" applyFont="1" applyFill="1" applyBorder="1" applyAlignment="1">
      <alignment horizontal="center" vertical="center"/>
    </xf>
    <xf numFmtId="0" fontId="19" fillId="5" borderId="15" xfId="0" applyFont="1" applyFill="1" applyBorder="1" applyAlignment="1">
      <alignment horizontal="center" vertical="center"/>
    </xf>
    <xf numFmtId="0" fontId="4" fillId="0" borderId="4" xfId="0" applyNumberFormat="1" applyFont="1" applyFill="1" applyBorder="1" applyAlignment="1">
      <alignment horizontal="center" vertical="center"/>
    </xf>
    <xf numFmtId="0" fontId="4" fillId="0" borderId="6" xfId="0" applyNumberFormat="1" applyFont="1" applyFill="1" applyBorder="1" applyAlignment="1">
      <alignment horizontal="center" vertical="center"/>
    </xf>
    <xf numFmtId="0" fontId="4" fillId="0" borderId="7" xfId="0" applyNumberFormat="1" applyFont="1" applyFill="1" applyBorder="1" applyAlignment="1">
      <alignment horizontal="center" vertical="center"/>
    </xf>
    <xf numFmtId="0" fontId="19" fillId="2" borderId="6" xfId="0" applyFont="1" applyFill="1" applyBorder="1" applyAlignment="1">
      <alignment horizontal="center" vertical="center" wrapText="1"/>
    </xf>
    <xf numFmtId="0" fontId="4" fillId="2" borderId="11" xfId="0" applyFont="1" applyFill="1" applyBorder="1" applyAlignment="1">
      <alignment horizontal="left" vertical="center"/>
    </xf>
    <xf numFmtId="0" fontId="4" fillId="2" borderId="0" xfId="0" applyFont="1" applyFill="1" applyBorder="1" applyAlignment="1">
      <alignment horizontal="left" vertical="center"/>
    </xf>
    <xf numFmtId="0" fontId="4" fillId="2" borderId="32" xfId="0" applyFont="1" applyFill="1" applyBorder="1" applyAlignment="1">
      <alignment horizontal="left" vertical="center"/>
    </xf>
    <xf numFmtId="0" fontId="4" fillId="2" borderId="13" xfId="0" applyFont="1" applyFill="1" applyBorder="1" applyAlignment="1">
      <alignment horizontal="left" vertical="center"/>
    </xf>
    <xf numFmtId="0" fontId="4" fillId="2" borderId="14" xfId="0" applyFont="1" applyFill="1" applyBorder="1" applyAlignment="1">
      <alignment horizontal="left" vertical="center"/>
    </xf>
    <xf numFmtId="0" fontId="4" fillId="2" borderId="15" xfId="0" applyFont="1" applyFill="1" applyBorder="1" applyAlignment="1">
      <alignment horizontal="lef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4" fillId="2" borderId="22" xfId="0" applyFont="1" applyFill="1" applyBorder="1" applyAlignment="1">
      <alignment horizontal="left" vertical="center"/>
    </xf>
    <xf numFmtId="0" fontId="4" fillId="0" borderId="22" xfId="0" applyFont="1" applyFill="1" applyBorder="1" applyAlignment="1">
      <alignment horizontal="center" vertical="center" wrapText="1"/>
    </xf>
    <xf numFmtId="0" fontId="4" fillId="2" borderId="32" xfId="0" applyFont="1" applyFill="1" applyBorder="1" applyAlignment="1">
      <alignment horizontal="center" vertical="center"/>
    </xf>
    <xf numFmtId="0" fontId="4" fillId="2" borderId="15" xfId="0" applyFont="1" applyFill="1" applyBorder="1" applyAlignment="1">
      <alignment horizontal="center" vertical="center"/>
    </xf>
    <xf numFmtId="0" fontId="4" fillId="0" borderId="3" xfId="0" applyFont="1" applyFill="1" applyBorder="1" applyAlignment="1">
      <alignment horizontal="center" vertical="center" wrapText="1"/>
    </xf>
    <xf numFmtId="0" fontId="4" fillId="2" borderId="3" xfId="0" applyNumberFormat="1" applyFont="1" applyFill="1" applyBorder="1" applyAlignment="1">
      <alignment horizontal="center" vertical="center" wrapText="1"/>
    </xf>
    <xf numFmtId="0" fontId="19" fillId="0" borderId="3" xfId="0" applyFont="1" applyFill="1" applyBorder="1" applyAlignment="1">
      <alignment horizontal="left" vertical="center" wrapText="1"/>
    </xf>
    <xf numFmtId="1" fontId="2" fillId="0" borderId="4" xfId="0" applyNumberFormat="1" applyFont="1" applyFill="1" applyBorder="1" applyAlignment="1" applyProtection="1">
      <alignment horizontal="center" vertical="center" wrapText="1"/>
      <protection locked="0"/>
    </xf>
    <xf numFmtId="1" fontId="2" fillId="0" borderId="7" xfId="0" applyNumberFormat="1" applyFont="1" applyFill="1" applyBorder="1" applyAlignment="1" applyProtection="1">
      <alignment horizontal="center" vertical="center" wrapText="1"/>
      <protection locked="0"/>
    </xf>
    <xf numFmtId="0" fontId="19" fillId="2" borderId="8" xfId="0" applyFont="1" applyFill="1" applyBorder="1" applyAlignment="1">
      <alignment horizontal="center" vertical="center"/>
    </xf>
    <xf numFmtId="0" fontId="19" fillId="2" borderId="22" xfId="0" applyFont="1" applyFill="1" applyBorder="1" applyAlignment="1">
      <alignment horizontal="center" vertical="center"/>
    </xf>
    <xf numFmtId="0" fontId="19" fillId="2" borderId="11" xfId="0" applyFont="1" applyFill="1" applyBorder="1" applyAlignment="1">
      <alignment horizontal="center" vertical="center"/>
    </xf>
    <xf numFmtId="0" fontId="19" fillId="2" borderId="32" xfId="0" applyFont="1" applyFill="1" applyBorder="1" applyAlignment="1">
      <alignment horizontal="center" vertical="center"/>
    </xf>
    <xf numFmtId="0" fontId="19" fillId="0" borderId="3" xfId="0" applyFont="1" applyFill="1" applyBorder="1" applyAlignment="1">
      <alignment horizontal="center" vertical="center" wrapText="1"/>
    </xf>
    <xf numFmtId="2" fontId="4" fillId="0" borderId="4" xfId="0" applyNumberFormat="1" applyFont="1" applyFill="1" applyBorder="1" applyAlignment="1">
      <alignment horizontal="center" vertical="center"/>
    </xf>
    <xf numFmtId="2" fontId="4" fillId="0" borderId="7" xfId="0" applyNumberFormat="1" applyFont="1" applyFill="1" applyBorder="1" applyAlignment="1">
      <alignment horizontal="center" vertical="center"/>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22" xfId="0" applyFont="1" applyFill="1" applyBorder="1" applyAlignment="1">
      <alignment horizontal="center" vertical="center"/>
    </xf>
    <xf numFmtId="1" fontId="19" fillId="0" borderId="8" xfId="0" applyNumberFormat="1" applyFont="1" applyFill="1" applyBorder="1" applyAlignment="1">
      <alignment horizontal="left" vertical="center"/>
    </xf>
    <xf numFmtId="1" fontId="19" fillId="0" borderId="9" xfId="0" applyNumberFormat="1" applyFont="1" applyFill="1" applyBorder="1" applyAlignment="1">
      <alignment horizontal="left" vertical="center"/>
    </xf>
    <xf numFmtId="1" fontId="19" fillId="0" borderId="22" xfId="0" applyNumberFormat="1" applyFont="1" applyFill="1" applyBorder="1" applyAlignment="1">
      <alignment horizontal="left" vertical="center"/>
    </xf>
    <xf numFmtId="1" fontId="19" fillId="0" borderId="13" xfId="0" applyNumberFormat="1" applyFont="1" applyFill="1" applyBorder="1" applyAlignment="1">
      <alignment horizontal="left" vertical="center"/>
    </xf>
    <xf numFmtId="1" fontId="19" fillId="0" borderId="14" xfId="0" applyNumberFormat="1" applyFont="1" applyFill="1" applyBorder="1" applyAlignment="1">
      <alignment horizontal="left" vertical="center"/>
    </xf>
    <xf numFmtId="1" fontId="19" fillId="0" borderId="15" xfId="0" applyNumberFormat="1" applyFont="1" applyFill="1" applyBorder="1" applyAlignment="1">
      <alignment horizontal="left" vertical="center"/>
    </xf>
    <xf numFmtId="1" fontId="4" fillId="0" borderId="3"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9" xfId="0" applyNumberFormat="1" applyFont="1" applyFill="1" applyBorder="1" applyAlignment="1">
      <alignment horizontal="center" vertical="center"/>
    </xf>
    <xf numFmtId="0" fontId="4" fillId="0" borderId="22" xfId="0" applyNumberFormat="1" applyFont="1" applyFill="1" applyBorder="1" applyAlignment="1">
      <alignment horizontal="center" vertical="center"/>
    </xf>
    <xf numFmtId="0" fontId="4" fillId="0" borderId="13" xfId="0" applyNumberFormat="1" applyFont="1" applyFill="1" applyBorder="1" applyAlignment="1">
      <alignment horizontal="center" vertical="center"/>
    </xf>
    <xf numFmtId="0" fontId="4" fillId="0" borderId="14" xfId="0" applyNumberFormat="1" applyFont="1" applyFill="1" applyBorder="1" applyAlignment="1">
      <alignment horizontal="center" vertical="center"/>
    </xf>
    <xf numFmtId="0" fontId="4" fillId="0" borderId="15" xfId="0" applyNumberFormat="1" applyFont="1" applyFill="1" applyBorder="1" applyAlignment="1">
      <alignment horizontal="center" vertical="center"/>
    </xf>
    <xf numFmtId="1" fontId="2" fillId="0" borderId="8" xfId="0" applyNumberFormat="1" applyFont="1" applyFill="1" applyBorder="1" applyAlignment="1" applyProtection="1">
      <alignment horizontal="center" vertical="center" wrapText="1"/>
      <protection locked="0"/>
    </xf>
    <xf numFmtId="1" fontId="2" fillId="0" borderId="22" xfId="0" applyNumberFormat="1" applyFont="1" applyFill="1" applyBorder="1" applyAlignment="1" applyProtection="1">
      <alignment horizontal="center" vertical="center" wrapText="1"/>
      <protection locked="0"/>
    </xf>
    <xf numFmtId="1" fontId="2" fillId="0" borderId="13" xfId="0" applyNumberFormat="1" applyFont="1" applyFill="1" applyBorder="1" applyAlignment="1" applyProtection="1">
      <alignment horizontal="center" vertical="center" wrapText="1"/>
      <protection locked="0"/>
    </xf>
    <xf numFmtId="1" fontId="2" fillId="0" borderId="15" xfId="0" applyNumberFormat="1" applyFont="1" applyFill="1" applyBorder="1" applyAlignment="1" applyProtection="1">
      <alignment horizontal="center" vertical="center" wrapText="1"/>
      <protection locked="0"/>
    </xf>
    <xf numFmtId="2" fontId="61" fillId="0" borderId="3" xfId="0" applyNumberFormat="1" applyFont="1" applyFill="1" applyBorder="1" applyAlignment="1">
      <alignment horizontal="center" vertical="center"/>
    </xf>
    <xf numFmtId="0" fontId="4" fillId="3" borderId="4" xfId="0" applyNumberFormat="1" applyFont="1" applyFill="1" applyBorder="1" applyAlignment="1">
      <alignment horizontal="center" vertical="center"/>
    </xf>
    <xf numFmtId="0" fontId="4" fillId="3" borderId="6" xfId="0" applyNumberFormat="1" applyFont="1" applyFill="1" applyBorder="1" applyAlignment="1">
      <alignment horizontal="center" vertical="center"/>
    </xf>
    <xf numFmtId="0" fontId="4" fillId="3" borderId="7" xfId="0" applyNumberFormat="1" applyFont="1" applyFill="1" applyBorder="1" applyAlignment="1">
      <alignment horizontal="center" vertical="center"/>
    </xf>
    <xf numFmtId="0" fontId="19" fillId="2" borderId="5" xfId="0" applyFont="1" applyFill="1" applyBorder="1" applyAlignment="1">
      <alignment horizontal="center" vertical="center"/>
    </xf>
    <xf numFmtId="0" fontId="19" fillId="2" borderId="12" xfId="0" applyFont="1" applyFill="1" applyBorder="1" applyAlignment="1">
      <alignment horizontal="center" vertical="center"/>
    </xf>
    <xf numFmtId="0" fontId="19" fillId="2" borderId="13" xfId="0" applyFont="1" applyFill="1" applyBorder="1" applyAlignment="1">
      <alignment horizontal="center" vertical="center"/>
    </xf>
    <xf numFmtId="0" fontId="19" fillId="2" borderId="15" xfId="0" applyFont="1" applyFill="1" applyBorder="1" applyAlignment="1">
      <alignment horizontal="center" vertical="center"/>
    </xf>
    <xf numFmtId="2" fontId="2" fillId="0" borderId="4" xfId="0" applyNumberFormat="1" applyFont="1" applyFill="1" applyBorder="1" applyAlignment="1">
      <alignment horizontal="center" vertical="center"/>
    </xf>
    <xf numFmtId="2" fontId="2" fillId="0" borderId="7" xfId="0" applyNumberFormat="1" applyFont="1" applyFill="1" applyBorder="1" applyAlignment="1">
      <alignment horizontal="center" vertical="center"/>
    </xf>
    <xf numFmtId="0" fontId="2" fillId="0" borderId="3" xfId="0" applyNumberFormat="1" applyFont="1" applyFill="1" applyBorder="1" applyAlignment="1">
      <alignment horizontal="center" vertical="center"/>
    </xf>
    <xf numFmtId="0" fontId="19" fillId="0" borderId="4" xfId="0" applyFont="1" applyFill="1" applyBorder="1" applyAlignment="1">
      <alignment horizontal="left" vertical="center"/>
    </xf>
    <xf numFmtId="0" fontId="19" fillId="0" borderId="6" xfId="0" applyFont="1" applyFill="1" applyBorder="1" applyAlignment="1">
      <alignment horizontal="left" vertical="center"/>
    </xf>
    <xf numFmtId="0" fontId="19" fillId="0" borderId="7" xfId="0" applyFont="1" applyFill="1" applyBorder="1" applyAlignment="1">
      <alignment horizontal="left" vertical="center"/>
    </xf>
    <xf numFmtId="0" fontId="2" fillId="0" borderId="3" xfId="0" applyFont="1" applyFill="1" applyBorder="1" applyAlignment="1">
      <alignment vertical="center"/>
    </xf>
    <xf numFmtId="1" fontId="19" fillId="0" borderId="3" xfId="0" applyNumberFormat="1" applyFont="1" applyFill="1" applyBorder="1" applyAlignment="1">
      <alignment horizontal="left" vertical="center"/>
    </xf>
    <xf numFmtId="1" fontId="4" fillId="0" borderId="3" xfId="0" applyNumberFormat="1" applyFont="1" applyFill="1" applyBorder="1" applyAlignment="1">
      <alignment horizontal="left" vertical="center"/>
    </xf>
    <xf numFmtId="0" fontId="4" fillId="18" borderId="3" xfId="0" applyNumberFormat="1" applyFont="1" applyFill="1" applyBorder="1" applyAlignment="1">
      <alignment horizontal="center" vertical="center"/>
    </xf>
    <xf numFmtId="0" fontId="19" fillId="0" borderId="3" xfId="0" applyFont="1" applyFill="1" applyBorder="1" applyAlignment="1">
      <alignment horizontal="center" vertical="center"/>
    </xf>
    <xf numFmtId="0" fontId="2" fillId="0" borderId="3" xfId="0" applyFont="1" applyFill="1" applyBorder="1" applyAlignment="1">
      <alignment horizontal="center" vertical="center" wrapText="1"/>
    </xf>
    <xf numFmtId="0" fontId="19" fillId="0" borderId="3" xfId="0" applyFont="1" applyFill="1" applyBorder="1" applyAlignment="1">
      <alignment horizontal="left" vertical="center"/>
    </xf>
    <xf numFmtId="0" fontId="4" fillId="0" borderId="13"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19" fillId="2" borderId="14" xfId="0" applyFont="1" applyFill="1" applyBorder="1" applyAlignment="1">
      <alignment horizontal="center" vertical="center" wrapText="1"/>
    </xf>
    <xf numFmtId="0" fontId="4" fillId="0" borderId="3" xfId="0" applyFont="1" applyFill="1" applyBorder="1" applyAlignment="1">
      <alignment horizontal="left" vertical="top" wrapText="1"/>
    </xf>
    <xf numFmtId="0" fontId="19" fillId="0" borderId="6" xfId="0" applyFont="1" applyFill="1" applyBorder="1" applyAlignment="1">
      <alignment horizontal="left" vertical="center" wrapText="1"/>
    </xf>
    <xf numFmtId="0" fontId="19" fillId="0" borderId="7" xfId="0" applyFont="1" applyFill="1" applyBorder="1" applyAlignment="1">
      <alignment horizontal="left" vertical="center" wrapText="1"/>
    </xf>
    <xf numFmtId="0" fontId="4" fillId="0" borderId="3" xfId="0" applyFont="1" applyFill="1" applyBorder="1" applyAlignment="1">
      <alignment horizontal="center"/>
    </xf>
    <xf numFmtId="9" fontId="4" fillId="0" borderId="3" xfId="0" applyNumberFormat="1" applyFont="1" applyFill="1" applyBorder="1" applyAlignment="1">
      <alignment horizontal="center"/>
    </xf>
    <xf numFmtId="0" fontId="4" fillId="0" borderId="4" xfId="0" applyFont="1" applyFill="1" applyBorder="1" applyAlignment="1">
      <alignment horizontal="left"/>
    </xf>
    <xf numFmtId="0" fontId="4" fillId="0" borderId="6" xfId="0" applyFont="1" applyFill="1" applyBorder="1" applyAlignment="1">
      <alignment horizontal="left"/>
    </xf>
    <xf numFmtId="0" fontId="4" fillId="0" borderId="7" xfId="0" applyFont="1" applyFill="1" applyBorder="1" applyAlignment="1">
      <alignment horizontal="left"/>
    </xf>
    <xf numFmtId="0" fontId="19" fillId="5" borderId="3" xfId="0" applyFont="1" applyFill="1" applyBorder="1" applyAlignment="1">
      <alignment horizontal="center" vertical="center"/>
    </xf>
    <xf numFmtId="9" fontId="4" fillId="0" borderId="5" xfId="0" applyNumberFormat="1" applyFont="1" applyFill="1" applyBorder="1" applyAlignment="1">
      <alignment horizontal="center" vertical="center"/>
    </xf>
    <xf numFmtId="9" fontId="4" fillId="0" borderId="8" xfId="0" applyNumberFormat="1" applyFont="1" applyFill="1" applyBorder="1" applyAlignment="1">
      <alignment horizontal="center" vertical="center"/>
    </xf>
    <xf numFmtId="9" fontId="4" fillId="0" borderId="9" xfId="0" applyNumberFormat="1" applyFont="1" applyFill="1" applyBorder="1" applyAlignment="1">
      <alignment horizontal="center" vertical="center"/>
    </xf>
    <xf numFmtId="9" fontId="4" fillId="0" borderId="22" xfId="0" applyNumberFormat="1" applyFont="1" applyFill="1" applyBorder="1" applyAlignment="1">
      <alignment horizontal="center" vertical="center"/>
    </xf>
    <xf numFmtId="9" fontId="4" fillId="0" borderId="11" xfId="0" applyNumberFormat="1" applyFont="1" applyFill="1" applyBorder="1" applyAlignment="1">
      <alignment horizontal="center" vertical="center"/>
    </xf>
    <xf numFmtId="9" fontId="4" fillId="0" borderId="0" xfId="0" applyNumberFormat="1" applyFont="1" applyFill="1" applyBorder="1" applyAlignment="1">
      <alignment horizontal="center" vertical="center"/>
    </xf>
    <xf numFmtId="9" fontId="4" fillId="0" borderId="32" xfId="0" applyNumberFormat="1" applyFont="1" applyFill="1" applyBorder="1" applyAlignment="1">
      <alignment horizontal="center" vertical="center"/>
    </xf>
    <xf numFmtId="9" fontId="4" fillId="0" borderId="13" xfId="0" applyNumberFormat="1" applyFont="1" applyFill="1" applyBorder="1" applyAlignment="1">
      <alignment horizontal="center" vertical="center"/>
    </xf>
    <xf numFmtId="9" fontId="4" fillId="0" borderId="14" xfId="0" applyNumberFormat="1" applyFont="1" applyFill="1" applyBorder="1" applyAlignment="1">
      <alignment horizontal="center" vertical="center"/>
    </xf>
    <xf numFmtId="9" fontId="4" fillId="0" borderId="15" xfId="0" applyNumberFormat="1" applyFont="1" applyFill="1" applyBorder="1" applyAlignment="1">
      <alignment horizontal="center" vertical="center"/>
    </xf>
    <xf numFmtId="0" fontId="24" fillId="0" borderId="8" xfId="3" applyFont="1" applyFill="1" applyBorder="1" applyAlignment="1">
      <alignment horizontal="left" vertical="center" wrapText="1"/>
    </xf>
    <xf numFmtId="0" fontId="24" fillId="0" borderId="9" xfId="3" applyFont="1" applyFill="1" applyBorder="1" applyAlignment="1">
      <alignment horizontal="left" vertical="center" wrapText="1"/>
    </xf>
    <xf numFmtId="0" fontId="24" fillId="0" borderId="22" xfId="3" applyFont="1" applyFill="1" applyBorder="1" applyAlignment="1">
      <alignment horizontal="left" vertical="center" wrapText="1"/>
    </xf>
    <xf numFmtId="0" fontId="24" fillId="0" borderId="11" xfId="3" applyFont="1" applyFill="1" applyBorder="1" applyAlignment="1">
      <alignment horizontal="left" vertical="center" wrapText="1"/>
    </xf>
    <xf numFmtId="0" fontId="24" fillId="0" borderId="0" xfId="3" applyFont="1" applyFill="1" applyBorder="1" applyAlignment="1">
      <alignment horizontal="left" vertical="center" wrapText="1"/>
    </xf>
    <xf numFmtId="0" fontId="24" fillId="0" borderId="32" xfId="3" applyFont="1" applyFill="1" applyBorder="1" applyAlignment="1">
      <alignment horizontal="left" vertical="center" wrapText="1"/>
    </xf>
    <xf numFmtId="0" fontId="24" fillId="0" borderId="13" xfId="3" applyFont="1" applyFill="1" applyBorder="1" applyAlignment="1">
      <alignment horizontal="left" vertical="center" wrapText="1"/>
    </xf>
    <xf numFmtId="0" fontId="24" fillId="0" borderId="14" xfId="3" applyFont="1" applyFill="1" applyBorder="1" applyAlignment="1">
      <alignment horizontal="left" vertical="center" wrapText="1"/>
    </xf>
    <xf numFmtId="0" fontId="24" fillId="0" borderId="15" xfId="3" applyFont="1" applyFill="1" applyBorder="1" applyAlignment="1">
      <alignment horizontal="left" vertical="center" wrapText="1"/>
    </xf>
    <xf numFmtId="0" fontId="4" fillId="0" borderId="9" xfId="0" applyFont="1" applyFill="1" applyBorder="1" applyAlignment="1">
      <alignment horizontal="left" vertical="center"/>
    </xf>
    <xf numFmtId="0" fontId="4" fillId="0" borderId="4" xfId="0" applyNumberFormat="1" applyFont="1" applyFill="1" applyBorder="1" applyAlignment="1">
      <alignment horizontal="left" vertical="center" wrapText="1"/>
    </xf>
    <xf numFmtId="0" fontId="4" fillId="0" borderId="7" xfId="0" applyNumberFormat="1" applyFont="1" applyFill="1" applyBorder="1" applyAlignment="1">
      <alignment horizontal="left" vertical="center" wrapText="1"/>
    </xf>
    <xf numFmtId="0" fontId="4" fillId="0" borderId="3" xfId="0" applyFont="1" applyBorder="1" applyAlignment="1">
      <alignment horizontal="center"/>
    </xf>
    <xf numFmtId="0" fontId="4" fillId="0" borderId="3" xfId="0" applyFont="1" applyFill="1" applyBorder="1" applyAlignment="1">
      <alignment horizontal="left"/>
    </xf>
    <xf numFmtId="0" fontId="4" fillId="3" borderId="3" xfId="0" applyFont="1" applyFill="1" applyBorder="1" applyAlignment="1">
      <alignment horizontal="left"/>
    </xf>
    <xf numFmtId="0" fontId="19" fillId="2" borderId="8" xfId="0" applyFont="1" applyFill="1" applyBorder="1" applyAlignment="1">
      <alignment horizontal="left" vertical="center"/>
    </xf>
    <xf numFmtId="0" fontId="19" fillId="2" borderId="9" xfId="0" applyFont="1" applyFill="1" applyBorder="1" applyAlignment="1">
      <alignment horizontal="left" vertical="center"/>
    </xf>
    <xf numFmtId="0" fontId="19" fillId="2" borderId="22" xfId="0" applyFont="1" applyFill="1" applyBorder="1" applyAlignment="1">
      <alignment horizontal="left" vertical="center"/>
    </xf>
    <xf numFmtId="1" fontId="4" fillId="3" borderId="3" xfId="0" applyNumberFormat="1" applyFont="1" applyFill="1" applyBorder="1" applyAlignment="1">
      <alignment horizontal="left" vertical="center"/>
    </xf>
    <xf numFmtId="0" fontId="4" fillId="3" borderId="4" xfId="0" applyFont="1" applyFill="1" applyBorder="1" applyAlignment="1">
      <alignment horizontal="left" wrapText="1"/>
    </xf>
    <xf numFmtId="0" fontId="4" fillId="3" borderId="6" xfId="0" applyFont="1" applyFill="1" applyBorder="1" applyAlignment="1">
      <alignment horizontal="left" wrapText="1"/>
    </xf>
    <xf numFmtId="0" fontId="4" fillId="3" borderId="7" xfId="0" applyFont="1" applyFill="1" applyBorder="1" applyAlignment="1">
      <alignment horizontal="left" wrapText="1"/>
    </xf>
    <xf numFmtId="3" fontId="2" fillId="0" borderId="3" xfId="0" applyNumberFormat="1" applyFont="1" applyFill="1" applyBorder="1" applyAlignment="1">
      <alignment horizontal="left" vertical="center"/>
    </xf>
    <xf numFmtId="0" fontId="13" fillId="2" borderId="3" xfId="0" applyFont="1" applyFill="1" applyBorder="1" applyAlignment="1">
      <alignment horizontal="center" vertical="center"/>
    </xf>
    <xf numFmtId="0" fontId="19" fillId="4" borderId="3" xfId="0" applyFont="1" applyFill="1" applyBorder="1" applyAlignment="1">
      <alignment horizontal="left" vertical="center"/>
    </xf>
    <xf numFmtId="0" fontId="4" fillId="9" borderId="3" xfId="0" applyNumberFormat="1" applyFont="1" applyFill="1" applyBorder="1" applyAlignment="1">
      <alignment horizontal="center" vertical="center" wrapText="1"/>
    </xf>
    <xf numFmtId="0" fontId="4" fillId="0" borderId="3" xfId="0" applyNumberFormat="1" applyFont="1" applyBorder="1" applyAlignment="1">
      <alignment horizontal="left" vertical="center"/>
    </xf>
    <xf numFmtId="0" fontId="3" fillId="0" borderId="3" xfId="0" applyFont="1" applyBorder="1" applyAlignment="1">
      <alignment horizontal="left" vertical="center"/>
    </xf>
    <xf numFmtId="0" fontId="19" fillId="2" borderId="4" xfId="0" applyNumberFormat="1" applyFont="1" applyFill="1" applyBorder="1" applyAlignment="1">
      <alignment horizontal="center" vertical="center"/>
    </xf>
    <xf numFmtId="0" fontId="19" fillId="2" borderId="6" xfId="0" applyNumberFormat="1" applyFont="1" applyFill="1" applyBorder="1" applyAlignment="1">
      <alignment horizontal="center" vertical="center"/>
    </xf>
    <xf numFmtId="0" fontId="19" fillId="2" borderId="7" xfId="0" applyNumberFormat="1" applyFont="1" applyFill="1" applyBorder="1" applyAlignment="1">
      <alignment horizontal="center" vertical="center"/>
    </xf>
    <xf numFmtId="0" fontId="19" fillId="4" borderId="3" xfId="0" applyNumberFormat="1" applyFont="1" applyFill="1" applyBorder="1" applyAlignment="1">
      <alignment horizontal="center" wrapText="1"/>
    </xf>
    <xf numFmtId="0" fontId="4" fillId="0" borderId="3" xfId="0" applyNumberFormat="1" applyFont="1" applyFill="1" applyBorder="1" applyAlignment="1">
      <alignment horizontal="left" vertical="center" wrapText="1"/>
    </xf>
    <xf numFmtId="0" fontId="19" fillId="2" borderId="3" xfId="0" applyNumberFormat="1" applyFont="1" applyFill="1" applyBorder="1" applyAlignment="1">
      <alignment horizontal="center" vertical="center"/>
    </xf>
    <xf numFmtId="0" fontId="19" fillId="4" borderId="3" xfId="0" applyNumberFormat="1" applyFont="1" applyFill="1" applyBorder="1" applyAlignment="1">
      <alignment horizontal="center" vertical="center" wrapText="1"/>
    </xf>
    <xf numFmtId="0" fontId="2" fillId="0" borderId="7" xfId="0" applyNumberFormat="1" applyFont="1" applyFill="1" applyBorder="1"/>
    <xf numFmtId="0" fontId="2" fillId="0" borderId="7" xfId="0" applyNumberFormat="1" applyFont="1" applyBorder="1"/>
    <xf numFmtId="0" fontId="4" fillId="0" borderId="8" xfId="0" applyNumberFormat="1" applyFont="1" applyFill="1" applyBorder="1" applyAlignment="1">
      <alignment horizontal="left" vertical="center" wrapText="1"/>
    </xf>
    <xf numFmtId="0" fontId="2" fillId="0" borderId="60" xfId="0" applyNumberFormat="1" applyFont="1" applyBorder="1"/>
    <xf numFmtId="0" fontId="4" fillId="0" borderId="11" xfId="0" applyNumberFormat="1" applyFont="1" applyFill="1" applyBorder="1" applyAlignment="1">
      <alignment horizontal="left" vertical="center" wrapText="1"/>
    </xf>
    <xf numFmtId="0" fontId="4" fillId="0" borderId="13" xfId="0" applyNumberFormat="1" applyFont="1" applyFill="1" applyBorder="1" applyAlignment="1">
      <alignment horizontal="left" vertical="center" wrapText="1"/>
    </xf>
    <xf numFmtId="0" fontId="4" fillId="0" borderId="59" xfId="0" applyNumberFormat="1"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2" xfId="0" applyFont="1" applyFill="1" applyBorder="1" applyAlignment="1">
      <alignment horizontal="left" vertical="center" wrapText="1"/>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22" xfId="0" applyFont="1" applyFill="1" applyBorder="1" applyAlignment="1">
      <alignment horizontal="center" vertical="center"/>
    </xf>
    <xf numFmtId="0" fontId="4" fillId="2" borderId="13"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4" fillId="2" borderId="15" xfId="0" applyFont="1" applyFill="1" applyBorder="1" applyAlignment="1">
      <alignment horizontal="left"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12" xfId="0" applyFont="1" applyFill="1" applyBorder="1" applyAlignment="1">
      <alignment horizontal="center" vertical="center" wrapText="1"/>
    </xf>
    <xf numFmtId="9" fontId="4" fillId="0" borderId="4" xfId="0" applyNumberFormat="1" applyFont="1" applyBorder="1" applyAlignment="1">
      <alignment horizontal="center" vertical="center"/>
    </xf>
    <xf numFmtId="9" fontId="4" fillId="0" borderId="7" xfId="0" applyNumberFormat="1" applyFont="1" applyBorder="1" applyAlignment="1">
      <alignment horizontal="center" vertical="center"/>
    </xf>
    <xf numFmtId="9" fontId="4" fillId="0" borderId="4" xfId="0" applyNumberFormat="1" applyFont="1" applyBorder="1" applyAlignment="1">
      <alignment horizontal="center"/>
    </xf>
    <xf numFmtId="9" fontId="4" fillId="0" borderId="6" xfId="0" applyNumberFormat="1" applyFont="1" applyBorder="1" applyAlignment="1">
      <alignment horizontal="center"/>
    </xf>
    <xf numFmtId="9" fontId="4" fillId="0" borderId="7" xfId="0" applyNumberFormat="1" applyFont="1" applyBorder="1" applyAlignment="1">
      <alignment horizontal="center"/>
    </xf>
    <xf numFmtId="0" fontId="5" fillId="0" borderId="0" xfId="3" applyAlignment="1">
      <alignment horizontal="left"/>
    </xf>
    <xf numFmtId="0" fontId="9" fillId="0" borderId="38" xfId="0" applyFont="1" applyFill="1" applyBorder="1" applyAlignment="1">
      <alignment horizontal="center" vertical="center"/>
    </xf>
    <xf numFmtId="14" fontId="19" fillId="0" borderId="0" xfId="0" applyNumberFormat="1" applyFont="1" applyFill="1" applyBorder="1" applyAlignment="1">
      <alignment horizontal="center" vertical="center" wrapText="1"/>
    </xf>
    <xf numFmtId="9" fontId="4" fillId="0" borderId="6" xfId="0" applyNumberFormat="1" applyFont="1" applyBorder="1" applyAlignment="1">
      <alignment horizontal="center" vertical="center"/>
    </xf>
    <xf numFmtId="0" fontId="19" fillId="0" borderId="8" xfId="0" applyFont="1" applyBorder="1" applyAlignment="1">
      <alignment horizontal="left" vertical="center" wrapText="1"/>
    </xf>
    <xf numFmtId="0" fontId="19" fillId="0" borderId="9" xfId="0" applyFont="1" applyBorder="1" applyAlignment="1">
      <alignment horizontal="left" vertical="center" wrapText="1"/>
    </xf>
    <xf numFmtId="0" fontId="19" fillId="0" borderId="22" xfId="0" applyFont="1" applyBorder="1" applyAlignment="1">
      <alignment horizontal="left" vertical="center" wrapText="1"/>
    </xf>
    <xf numFmtId="0" fontId="19" fillId="0" borderId="3" xfId="0" applyFont="1" applyBorder="1" applyAlignment="1">
      <alignment horizontal="left" vertical="center" wrapText="1"/>
    </xf>
    <xf numFmtId="4" fontId="4" fillId="3" borderId="3" xfId="0" applyNumberFormat="1" applyFont="1" applyFill="1" applyBorder="1" applyAlignment="1">
      <alignment horizontal="center" vertical="center"/>
    </xf>
    <xf numFmtId="4" fontId="4" fillId="0" borderId="3" xfId="0" applyNumberFormat="1" applyFont="1" applyFill="1" applyBorder="1" applyAlignment="1">
      <alignment horizontal="center" vertical="center"/>
    </xf>
    <xf numFmtId="4" fontId="4" fillId="18" borderId="3" xfId="0" applyNumberFormat="1" applyFont="1" applyFill="1" applyBorder="1" applyAlignment="1">
      <alignment horizontal="center" vertical="center"/>
    </xf>
    <xf numFmtId="2" fontId="4" fillId="3" borderId="3" xfId="0" applyNumberFormat="1" applyFont="1" applyFill="1" applyBorder="1" applyAlignment="1">
      <alignment horizontal="left" vertical="center"/>
    </xf>
    <xf numFmtId="0" fontId="4" fillId="0" borderId="38" xfId="0" applyFont="1" applyBorder="1" applyAlignment="1">
      <alignment horizontal="center" vertical="top"/>
    </xf>
    <xf numFmtId="14" fontId="19" fillId="0" borderId="14" xfId="0" applyNumberFormat="1" applyFont="1" applyBorder="1" applyAlignment="1">
      <alignment horizontal="center"/>
    </xf>
    <xf numFmtId="0" fontId="4" fillId="2" borderId="22"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2" borderId="4" xfId="0" applyNumberFormat="1" applyFont="1" applyFill="1" applyBorder="1" applyAlignment="1">
      <alignment horizontal="center" vertical="center"/>
    </xf>
    <xf numFmtId="0" fontId="4" fillId="2" borderId="7" xfId="0" applyNumberFormat="1" applyFont="1" applyFill="1" applyBorder="1" applyAlignment="1">
      <alignment horizontal="center" vertical="center"/>
    </xf>
    <xf numFmtId="0" fontId="4" fillId="2" borderId="4" xfId="0" applyNumberFormat="1" applyFont="1" applyFill="1" applyBorder="1" applyAlignment="1">
      <alignment horizontal="center" vertical="center" wrapText="1"/>
    </xf>
    <xf numFmtId="0" fontId="4" fillId="2" borderId="7" xfId="0" applyNumberFormat="1" applyFont="1" applyFill="1" applyBorder="1" applyAlignment="1">
      <alignment horizontal="center" vertical="center" wrapText="1"/>
    </xf>
    <xf numFmtId="0" fontId="2" fillId="0" borderId="6" xfId="0" applyFont="1" applyBorder="1"/>
    <xf numFmtId="0" fontId="2" fillId="0" borderId="7" xfId="0" applyFont="1" applyBorder="1"/>
    <xf numFmtId="0" fontId="4" fillId="4" borderId="4"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2" fillId="0" borderId="6" xfId="0" applyFont="1" applyFill="1" applyBorder="1" applyAlignment="1">
      <alignment horizontal="left"/>
    </xf>
    <xf numFmtId="0" fontId="2" fillId="0" borderId="7" xfId="0" applyFont="1" applyFill="1" applyBorder="1" applyAlignment="1">
      <alignment horizontal="left"/>
    </xf>
    <xf numFmtId="0" fontId="4" fillId="4" borderId="3"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22"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19" fillId="4" borderId="4" xfId="0" applyFont="1" applyFill="1" applyBorder="1" applyAlignment="1">
      <alignment horizontal="center" wrapText="1"/>
    </xf>
    <xf numFmtId="0" fontId="19" fillId="4" borderId="6" xfId="0" applyFont="1" applyFill="1" applyBorder="1" applyAlignment="1">
      <alignment horizontal="center" wrapText="1"/>
    </xf>
    <xf numFmtId="0" fontId="19" fillId="4" borderId="7" xfId="0" applyFont="1" applyFill="1" applyBorder="1" applyAlignment="1">
      <alignment horizontal="center" wrapText="1"/>
    </xf>
    <xf numFmtId="0" fontId="4" fillId="9" borderId="4" xfId="0" applyFont="1" applyFill="1" applyBorder="1" applyAlignment="1">
      <alignment horizontal="center" vertical="center" wrapText="1"/>
    </xf>
    <xf numFmtId="0" fontId="4" fillId="9" borderId="7" xfId="0" applyFont="1" applyFill="1" applyBorder="1" applyAlignment="1">
      <alignment horizontal="center" vertical="center" wrapText="1"/>
    </xf>
    <xf numFmtId="2" fontId="4" fillId="3" borderId="3" xfId="0" applyNumberFormat="1" applyFont="1" applyFill="1" applyBorder="1" applyAlignment="1">
      <alignment horizontal="left" wrapText="1"/>
    </xf>
    <xf numFmtId="4" fontId="4" fillId="3" borderId="8" xfId="0" applyNumberFormat="1" applyFont="1" applyFill="1" applyBorder="1" applyAlignment="1">
      <alignment horizontal="center" vertical="center"/>
    </xf>
    <xf numFmtId="4" fontId="4" fillId="3" borderId="22" xfId="0" applyNumberFormat="1" applyFont="1" applyFill="1" applyBorder="1" applyAlignment="1">
      <alignment horizontal="center" vertical="center"/>
    </xf>
    <xf numFmtId="4" fontId="4" fillId="3" borderId="13" xfId="0" applyNumberFormat="1" applyFont="1" applyFill="1" applyBorder="1" applyAlignment="1">
      <alignment horizontal="center" vertical="center"/>
    </xf>
    <xf numFmtId="4" fontId="4" fillId="3" borderId="15" xfId="0" applyNumberFormat="1" applyFont="1" applyFill="1" applyBorder="1" applyAlignment="1">
      <alignment horizontal="center" vertical="center"/>
    </xf>
    <xf numFmtId="0" fontId="19" fillId="4" borderId="7" xfId="0" applyFont="1" applyFill="1" applyBorder="1" applyAlignment="1">
      <alignment horizontal="left" vertical="center"/>
    </xf>
    <xf numFmtId="0" fontId="4" fillId="3" borderId="4" xfId="0" applyFont="1" applyFill="1" applyBorder="1" applyAlignment="1">
      <alignment horizontal="left" vertical="center" wrapText="1"/>
    </xf>
    <xf numFmtId="0" fontId="4" fillId="3" borderId="6" xfId="0" applyFont="1" applyFill="1" applyBorder="1" applyAlignment="1">
      <alignment horizontal="left" vertical="center" wrapText="1"/>
    </xf>
    <xf numFmtId="0" fontId="4" fillId="3" borderId="7" xfId="0" applyFont="1" applyFill="1" applyBorder="1" applyAlignment="1">
      <alignment horizontal="left" vertical="center" wrapText="1"/>
    </xf>
    <xf numFmtId="0" fontId="4" fillId="0" borderId="3" xfId="0" applyFont="1" applyBorder="1" applyAlignment="1">
      <alignment horizontal="center" vertical="center" wrapText="1"/>
    </xf>
    <xf numFmtId="0" fontId="19" fillId="2" borderId="3" xfId="0" applyFont="1" applyFill="1" applyBorder="1" applyAlignment="1">
      <alignment horizontal="center"/>
    </xf>
    <xf numFmtId="0" fontId="4" fillId="0" borderId="3" xfId="0" applyFont="1" applyBorder="1" applyAlignment="1">
      <alignment horizontal="left"/>
    </xf>
    <xf numFmtId="0" fontId="2" fillId="0" borderId="3" xfId="0" applyFont="1" applyBorder="1"/>
    <xf numFmtId="9" fontId="4" fillId="0" borderId="12" xfId="0" applyNumberFormat="1" applyFont="1" applyFill="1" applyBorder="1" applyAlignment="1">
      <alignment horizontal="center" vertical="center"/>
    </xf>
    <xf numFmtId="9" fontId="4" fillId="0" borderId="3" xfId="0" applyNumberFormat="1" applyFont="1" applyBorder="1" applyAlignment="1">
      <alignment horizontal="center"/>
    </xf>
    <xf numFmtId="0" fontId="19" fillId="5" borderId="3" xfId="0" applyFont="1" applyFill="1" applyBorder="1" applyAlignment="1">
      <alignment horizontal="center"/>
    </xf>
    <xf numFmtId="9" fontId="19" fillId="5" borderId="3" xfId="0" applyNumberFormat="1" applyFont="1" applyFill="1" applyBorder="1" applyAlignment="1">
      <alignment horizontal="center" vertical="center"/>
    </xf>
    <xf numFmtId="4" fontId="19" fillId="0" borderId="3" xfId="0" applyNumberFormat="1" applyFont="1" applyFill="1" applyBorder="1" applyAlignment="1">
      <alignment horizontal="center" vertical="center"/>
    </xf>
    <xf numFmtId="0" fontId="4" fillId="0" borderId="5" xfId="0" applyNumberFormat="1" applyFont="1" applyFill="1" applyBorder="1" applyAlignment="1">
      <alignment horizontal="center" vertical="center"/>
    </xf>
    <xf numFmtId="0" fontId="4" fillId="0" borderId="12" xfId="0" applyNumberFormat="1" applyFont="1" applyFill="1" applyBorder="1" applyAlignment="1">
      <alignment horizontal="center" vertical="center"/>
    </xf>
    <xf numFmtId="0" fontId="4" fillId="2" borderId="5" xfId="0" applyNumberFormat="1" applyFont="1" applyFill="1" applyBorder="1" applyAlignment="1">
      <alignment horizontal="center" vertical="center"/>
    </xf>
    <xf numFmtId="0" fontId="4" fillId="2" borderId="12" xfId="0" applyNumberFormat="1" applyFont="1" applyFill="1" applyBorder="1" applyAlignment="1">
      <alignment horizontal="center" vertical="center"/>
    </xf>
    <xf numFmtId="0" fontId="19" fillId="0" borderId="5" xfId="0" applyFont="1" applyFill="1" applyBorder="1" applyAlignment="1" applyProtection="1">
      <alignment horizontal="center" vertical="center" wrapText="1"/>
      <protection locked="0"/>
    </xf>
    <xf numFmtId="0" fontId="19" fillId="0" borderId="12" xfId="0" applyFont="1" applyFill="1" applyBorder="1" applyAlignment="1" applyProtection="1">
      <alignment horizontal="center" vertical="center" wrapText="1"/>
      <protection locked="0"/>
    </xf>
    <xf numFmtId="0" fontId="19" fillId="2" borderId="5"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wrapText="1"/>
      <protection locked="0"/>
    </xf>
    <xf numFmtId="0" fontId="19" fillId="2" borderId="9" xfId="0" applyFont="1" applyFill="1" applyBorder="1" applyAlignment="1">
      <alignment horizontal="center" vertical="center"/>
    </xf>
    <xf numFmtId="0" fontId="19" fillId="2" borderId="0" xfId="0" applyFont="1" applyFill="1" applyBorder="1" applyAlignment="1">
      <alignment horizontal="center" vertical="center"/>
    </xf>
    <xf numFmtId="0" fontId="19" fillId="2" borderId="14" xfId="0" applyFont="1" applyFill="1" applyBorder="1" applyAlignment="1">
      <alignment horizontal="center" vertical="center"/>
    </xf>
    <xf numFmtId="1" fontId="4" fillId="0" borderId="3" xfId="0" applyNumberFormat="1" applyFont="1" applyFill="1" applyBorder="1" applyAlignment="1">
      <alignment horizontal="center" vertical="center" wrapText="1"/>
    </xf>
    <xf numFmtId="1" fontId="4" fillId="0" borderId="4" xfId="0" applyNumberFormat="1" applyFont="1" applyFill="1" applyBorder="1" applyAlignment="1">
      <alignment horizontal="center" vertical="center"/>
    </xf>
    <xf numFmtId="1" fontId="4" fillId="0" borderId="7" xfId="0" applyNumberFormat="1" applyFont="1" applyFill="1" applyBorder="1" applyAlignment="1">
      <alignment horizontal="center" vertical="center"/>
    </xf>
    <xf numFmtId="1" fontId="4" fillId="0" borderId="8" xfId="0" applyNumberFormat="1" applyFont="1" applyFill="1" applyBorder="1" applyAlignment="1">
      <alignment horizontal="left" vertical="center"/>
    </xf>
    <xf numFmtId="1" fontId="4" fillId="0" borderId="22" xfId="0" applyNumberFormat="1" applyFont="1" applyFill="1" applyBorder="1" applyAlignment="1">
      <alignment horizontal="left" vertical="center"/>
    </xf>
    <xf numFmtId="1" fontId="4" fillId="0" borderId="11" xfId="0" applyNumberFormat="1" applyFont="1" applyFill="1" applyBorder="1" applyAlignment="1">
      <alignment horizontal="center" vertical="center" wrapText="1"/>
    </xf>
    <xf numFmtId="1" fontId="4" fillId="0" borderId="0" xfId="0" applyNumberFormat="1" applyFont="1" applyFill="1" applyBorder="1" applyAlignment="1">
      <alignment horizontal="center" vertical="center" wrapText="1"/>
    </xf>
    <xf numFmtId="1" fontId="4" fillId="0" borderId="32" xfId="0" applyNumberFormat="1" applyFont="1" applyFill="1" applyBorder="1" applyAlignment="1">
      <alignment horizontal="center" vertical="center" wrapText="1"/>
    </xf>
    <xf numFmtId="1" fontId="4" fillId="0" borderId="13" xfId="0" applyNumberFormat="1" applyFont="1" applyFill="1" applyBorder="1" applyAlignment="1">
      <alignment horizontal="center" vertical="center" wrapText="1"/>
    </xf>
    <xf numFmtId="1" fontId="4" fillId="0" borderId="14" xfId="0" applyNumberFormat="1" applyFont="1" applyFill="1" applyBorder="1" applyAlignment="1">
      <alignment horizontal="center" vertical="center" wrapText="1"/>
    </xf>
    <xf numFmtId="1" fontId="4" fillId="0" borderId="15" xfId="0" applyNumberFormat="1" applyFont="1" applyFill="1" applyBorder="1" applyAlignment="1">
      <alignment horizontal="center" vertical="center" wrapText="1"/>
    </xf>
    <xf numFmtId="1" fontId="4" fillId="0" borderId="8" xfId="0" applyNumberFormat="1" applyFont="1" applyFill="1" applyBorder="1" applyAlignment="1">
      <alignment horizontal="center" vertical="center"/>
    </xf>
    <xf numFmtId="1" fontId="4" fillId="0" borderId="22" xfId="0" applyNumberFormat="1" applyFont="1" applyFill="1" applyBorder="1" applyAlignment="1">
      <alignment horizontal="center" vertical="center"/>
    </xf>
    <xf numFmtId="14" fontId="19" fillId="0" borderId="14" xfId="0" applyNumberFormat="1" applyFont="1" applyFill="1" applyBorder="1" applyAlignment="1">
      <alignment horizontal="center" vertical="center" wrapText="1"/>
    </xf>
    <xf numFmtId="1" fontId="4" fillId="0" borderId="4" xfId="0" applyNumberFormat="1" applyFont="1" applyFill="1" applyBorder="1" applyAlignment="1">
      <alignment horizontal="left" vertical="center" wrapText="1"/>
    </xf>
    <xf numFmtId="1" fontId="4" fillId="0" borderId="7" xfId="0" applyNumberFormat="1" applyFont="1" applyFill="1" applyBorder="1" applyAlignment="1">
      <alignment horizontal="left" vertical="center" wrapText="1"/>
    </xf>
    <xf numFmtId="0" fontId="19" fillId="0" borderId="3" xfId="0" applyNumberFormat="1" applyFont="1" applyFill="1" applyBorder="1" applyAlignment="1">
      <alignment horizontal="center" vertical="center" wrapText="1"/>
    </xf>
    <xf numFmtId="14" fontId="19" fillId="0" borderId="6" xfId="0" applyNumberFormat="1" applyFont="1" applyFill="1" applyBorder="1" applyAlignment="1">
      <alignment horizontal="center"/>
    </xf>
    <xf numFmtId="2" fontId="19" fillId="0" borderId="3" xfId="0" applyNumberFormat="1" applyFont="1" applyFill="1" applyBorder="1" applyAlignment="1">
      <alignment horizontal="center" vertical="center"/>
    </xf>
    <xf numFmtId="0" fontId="4" fillId="0" borderId="4" xfId="0" applyFont="1" applyFill="1" applyBorder="1" applyAlignment="1">
      <alignment horizontal="center" vertical="center" wrapText="1"/>
    </xf>
    <xf numFmtId="0" fontId="4" fillId="0" borderId="7" xfId="0" applyFont="1" applyFill="1" applyBorder="1" applyAlignment="1">
      <alignment horizontal="center" vertical="center" wrapText="1"/>
    </xf>
    <xf numFmtId="4" fontId="19" fillId="0" borderId="4" xfId="0" applyNumberFormat="1" applyFont="1" applyFill="1" applyBorder="1" applyAlignment="1">
      <alignment horizontal="center" vertical="center"/>
    </xf>
    <xf numFmtId="4" fontId="19" fillId="0" borderId="7" xfId="0" applyNumberFormat="1" applyFont="1" applyFill="1" applyBorder="1" applyAlignment="1">
      <alignment horizontal="center" vertical="center"/>
    </xf>
    <xf numFmtId="0" fontId="4" fillId="0" borderId="6" xfId="0" applyFont="1" applyFill="1" applyBorder="1" applyAlignment="1">
      <alignment horizontal="center" vertical="center" wrapText="1"/>
    </xf>
    <xf numFmtId="4" fontId="19" fillId="0" borderId="3" xfId="0" applyNumberFormat="1" applyFont="1" applyFill="1" applyBorder="1" applyAlignment="1">
      <alignment horizontal="center" vertical="center" wrapText="1"/>
    </xf>
    <xf numFmtId="4" fontId="4" fillId="0" borderId="3" xfId="0" applyNumberFormat="1" applyFont="1" applyFill="1" applyBorder="1" applyAlignment="1">
      <alignment horizontal="center" vertical="center" wrapText="1"/>
    </xf>
    <xf numFmtId="172" fontId="4" fillId="0" borderId="3" xfId="0" applyNumberFormat="1" applyFont="1" applyFill="1" applyBorder="1" applyAlignment="1">
      <alignment horizontal="center" vertical="center" wrapText="1"/>
    </xf>
    <xf numFmtId="0" fontId="9" fillId="0" borderId="38" xfId="0" applyFont="1" applyFill="1" applyBorder="1" applyAlignment="1">
      <alignment horizontal="center"/>
    </xf>
    <xf numFmtId="0" fontId="4" fillId="0" borderId="0" xfId="0" applyFont="1" applyFill="1" applyBorder="1" applyAlignment="1">
      <alignment horizontal="center"/>
    </xf>
    <xf numFmtId="0" fontId="4" fillId="0" borderId="5" xfId="0" applyFont="1" applyFill="1" applyBorder="1" applyAlignment="1">
      <alignment horizontal="center" vertical="center" wrapText="1"/>
    </xf>
    <xf numFmtId="0" fontId="4" fillId="0" borderId="5" xfId="0" applyFont="1" applyFill="1" applyBorder="1" applyAlignment="1">
      <alignment horizontal="center" vertical="center"/>
    </xf>
    <xf numFmtId="4" fontId="2" fillId="0" borderId="5" xfId="0" applyNumberFormat="1" applyFont="1" applyFill="1" applyBorder="1" applyAlignment="1">
      <alignment horizontal="center" vertical="center"/>
    </xf>
    <xf numFmtId="4" fontId="2" fillId="0" borderId="12" xfId="0" applyNumberFormat="1" applyFont="1" applyFill="1" applyBorder="1" applyAlignment="1">
      <alignment horizontal="center" vertical="center"/>
    </xf>
    <xf numFmtId="4" fontId="4" fillId="0" borderId="5" xfId="0" applyNumberFormat="1" applyFont="1" applyFill="1" applyBorder="1" applyAlignment="1">
      <alignment horizontal="center" vertical="center"/>
    </xf>
    <xf numFmtId="4" fontId="4" fillId="0" borderId="12" xfId="0" applyNumberFormat="1" applyFont="1" applyFill="1" applyBorder="1" applyAlignment="1">
      <alignment horizontal="center" vertical="center"/>
    </xf>
    <xf numFmtId="9" fontId="19" fillId="0" borderId="3" xfId="0" applyNumberFormat="1" applyFont="1" applyFill="1" applyBorder="1" applyAlignment="1">
      <alignment horizontal="center" vertical="center"/>
    </xf>
    <xf numFmtId="0" fontId="28" fillId="2" borderId="3" xfId="0" applyFont="1" applyFill="1" applyBorder="1"/>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22" xfId="0" applyFont="1" applyFill="1" applyBorder="1" applyAlignment="1">
      <alignment horizontal="center"/>
    </xf>
    <xf numFmtId="0" fontId="4" fillId="0" borderId="13" xfId="0" applyFont="1" applyFill="1" applyBorder="1" applyAlignment="1">
      <alignment horizontal="center"/>
    </xf>
    <xf numFmtId="0" fontId="4" fillId="0" borderId="14" xfId="0" applyFont="1" applyFill="1" applyBorder="1" applyAlignment="1">
      <alignment horizontal="center"/>
    </xf>
    <xf numFmtId="0" fontId="4" fillId="0" borderId="15" xfId="0" applyFont="1" applyFill="1" applyBorder="1" applyAlignment="1">
      <alignment horizontal="center"/>
    </xf>
    <xf numFmtId="0" fontId="4" fillId="0" borderId="4"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2" fillId="0" borderId="5" xfId="0" applyNumberFormat="1" applyFont="1" applyFill="1" applyBorder="1" applyAlignment="1">
      <alignment horizontal="center" vertical="center"/>
    </xf>
    <xf numFmtId="0" fontId="2" fillId="0" borderId="12" xfId="0" applyNumberFormat="1" applyFont="1" applyFill="1" applyBorder="1" applyAlignment="1">
      <alignment horizontal="center" vertical="center"/>
    </xf>
    <xf numFmtId="2" fontId="2" fillId="0" borderId="5" xfId="0" applyNumberFormat="1" applyFont="1" applyFill="1" applyBorder="1" applyAlignment="1">
      <alignment horizontal="center" vertical="center"/>
    </xf>
    <xf numFmtId="2" fontId="2" fillId="0" borderId="12" xfId="0" applyNumberFormat="1" applyFont="1" applyFill="1" applyBorder="1" applyAlignment="1">
      <alignment horizontal="center" vertical="center"/>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2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15" xfId="0" applyFont="1" applyBorder="1" applyAlignment="1">
      <alignment horizontal="left" vertical="center" wrapText="1"/>
    </xf>
    <xf numFmtId="49" fontId="4" fillId="0" borderId="5" xfId="0" applyNumberFormat="1" applyFont="1" applyFill="1" applyBorder="1" applyAlignment="1">
      <alignment horizontal="center" vertical="center"/>
    </xf>
    <xf numFmtId="49" fontId="4" fillId="0" borderId="12" xfId="0" applyNumberFormat="1" applyFont="1" applyFill="1" applyBorder="1" applyAlignment="1">
      <alignment horizontal="center" vertical="center"/>
    </xf>
    <xf numFmtId="0" fontId="13" fillId="2" borderId="3" xfId="0" applyFont="1" applyFill="1" applyBorder="1" applyAlignment="1">
      <alignment horizontal="center" vertical="center" wrapText="1"/>
    </xf>
    <xf numFmtId="4" fontId="4" fillId="0" borderId="4" xfId="0" applyNumberFormat="1" applyFont="1" applyFill="1" applyBorder="1" applyAlignment="1">
      <alignment horizontal="center" vertical="center"/>
    </xf>
    <xf numFmtId="4" fontId="4" fillId="0" borderId="7" xfId="0" applyNumberFormat="1" applyFont="1" applyFill="1" applyBorder="1" applyAlignment="1">
      <alignment horizontal="center" vertical="center"/>
    </xf>
    <xf numFmtId="14" fontId="19" fillId="0" borderId="6" xfId="0" applyNumberFormat="1" applyFont="1" applyFill="1" applyBorder="1" applyAlignment="1">
      <alignment horizontal="center" vertical="center"/>
    </xf>
    <xf numFmtId="0" fontId="35" fillId="2" borderId="3" xfId="0" applyFont="1" applyFill="1" applyBorder="1" applyAlignment="1">
      <alignment horizontal="center" vertical="center"/>
    </xf>
    <xf numFmtId="0" fontId="35" fillId="2" borderId="3" xfId="0" applyFont="1" applyFill="1" applyBorder="1" applyAlignment="1">
      <alignment horizontal="center"/>
    </xf>
    <xf numFmtId="0" fontId="28" fillId="0" borderId="3" xfId="0" applyFont="1" applyBorder="1"/>
    <xf numFmtId="0" fontId="28" fillId="0" borderId="5" xfId="0" applyFont="1" applyBorder="1"/>
    <xf numFmtId="0" fontId="4" fillId="0" borderId="14" xfId="0" applyFont="1" applyFill="1" applyBorder="1" applyAlignment="1">
      <alignment horizontal="center" vertical="center" wrapText="1"/>
    </xf>
    <xf numFmtId="4" fontId="4" fillId="0" borderId="8" xfId="0" applyNumberFormat="1" applyFont="1" applyFill="1" applyBorder="1" applyAlignment="1">
      <alignment horizontal="center" vertical="center"/>
    </xf>
    <xf numFmtId="4" fontId="4" fillId="0" borderId="22" xfId="0" applyNumberFormat="1" applyFont="1" applyFill="1" applyBorder="1" applyAlignment="1">
      <alignment horizontal="center" vertical="center"/>
    </xf>
    <xf numFmtId="4" fontId="4" fillId="0" borderId="13" xfId="0" applyNumberFormat="1" applyFont="1" applyFill="1" applyBorder="1" applyAlignment="1">
      <alignment horizontal="center" vertical="center"/>
    </xf>
    <xf numFmtId="4" fontId="4" fillId="0" borderId="15" xfId="0" applyNumberFormat="1" applyFont="1" applyFill="1" applyBorder="1" applyAlignment="1">
      <alignment horizontal="center" vertical="center"/>
    </xf>
    <xf numFmtId="0" fontId="19" fillId="0" borderId="9" xfId="0" applyFont="1" applyFill="1" applyBorder="1" applyAlignment="1">
      <alignment horizontal="center" vertical="center"/>
    </xf>
    <xf numFmtId="0" fontId="19" fillId="0" borderId="22" xfId="0" applyFont="1" applyFill="1" applyBorder="1" applyAlignment="1">
      <alignment horizontal="center" vertical="center"/>
    </xf>
    <xf numFmtId="0" fontId="19" fillId="0" borderId="14" xfId="0" applyFont="1" applyFill="1" applyBorder="1" applyAlignment="1">
      <alignment horizontal="center" vertical="center"/>
    </xf>
    <xf numFmtId="0" fontId="19" fillId="0" borderId="15" xfId="0" applyFont="1" applyFill="1" applyBorder="1" applyAlignment="1">
      <alignment horizontal="center" vertical="center"/>
    </xf>
    <xf numFmtId="4" fontId="2" fillId="0" borderId="3" xfId="0" applyNumberFormat="1" applyFont="1" applyFill="1" applyBorder="1" applyAlignment="1">
      <alignment horizontal="center" vertical="center"/>
    </xf>
    <xf numFmtId="0" fontId="13" fillId="2" borderId="4"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4" fillId="0" borderId="11" xfId="0" applyFont="1" applyBorder="1" applyAlignment="1">
      <alignment horizontal="left" vertical="center" wrapText="1"/>
    </xf>
    <xf numFmtId="0" fontId="4" fillId="0" borderId="32" xfId="0" applyFont="1" applyBorder="1" applyAlignment="1">
      <alignment horizontal="left" vertical="center" wrapText="1"/>
    </xf>
    <xf numFmtId="0" fontId="4" fillId="0" borderId="9"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19" borderId="3" xfId="0" applyFont="1" applyFill="1" applyBorder="1" applyAlignment="1">
      <alignment horizontal="center" vertical="center" wrapText="1"/>
    </xf>
    <xf numFmtId="0" fontId="30" fillId="0" borderId="38" xfId="0" applyFont="1" applyFill="1" applyBorder="1" applyAlignment="1">
      <alignment horizontal="center"/>
    </xf>
    <xf numFmtId="0" fontId="29" fillId="2" borderId="3" xfId="0" applyFont="1" applyFill="1" applyBorder="1" applyAlignment="1">
      <alignment horizontal="center" vertical="center"/>
    </xf>
    <xf numFmtId="0" fontId="29" fillId="2" borderId="3" xfId="0" applyFont="1" applyFill="1" applyBorder="1" applyAlignment="1">
      <alignment horizontal="center" vertical="center" wrapText="1"/>
    </xf>
    <xf numFmtId="0" fontId="24" fillId="0" borderId="3" xfId="0" applyFont="1" applyFill="1" applyBorder="1" applyAlignment="1">
      <alignment horizontal="left" vertical="center" wrapText="1"/>
    </xf>
    <xf numFmtId="0" fontId="24" fillId="0" borderId="5"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5" xfId="0" applyFont="1" applyFill="1" applyBorder="1" applyAlignment="1">
      <alignment horizontal="center" vertical="center"/>
    </xf>
    <xf numFmtId="0" fontId="24" fillId="0" borderId="10" xfId="0" applyFont="1" applyFill="1" applyBorder="1" applyAlignment="1">
      <alignment horizontal="center" vertical="center"/>
    </xf>
    <xf numFmtId="0" fontId="24" fillId="0" borderId="12" xfId="0" applyFont="1" applyFill="1" applyBorder="1" applyAlignment="1">
      <alignment horizontal="center" vertical="center"/>
    </xf>
    <xf numFmtId="3" fontId="29" fillId="3" borderId="5" xfId="0" applyNumberFormat="1" applyFont="1" applyFill="1" applyBorder="1" applyAlignment="1">
      <alignment horizontal="center" vertical="center"/>
    </xf>
    <xf numFmtId="3" fontId="29" fillId="3" borderId="12" xfId="0" applyNumberFormat="1" applyFont="1" applyFill="1" applyBorder="1" applyAlignment="1">
      <alignment horizontal="center" vertical="center"/>
    </xf>
    <xf numFmtId="0" fontId="24" fillId="0" borderId="5" xfId="0" applyFont="1" applyFill="1" applyBorder="1" applyAlignment="1">
      <alignment horizontal="left" vertical="center" wrapText="1"/>
    </xf>
    <xf numFmtId="0" fontId="24" fillId="0" borderId="12" xfId="0" applyFont="1" applyFill="1" applyBorder="1" applyAlignment="1">
      <alignment horizontal="left" vertical="center" wrapText="1"/>
    </xf>
    <xf numFmtId="0" fontId="29" fillId="2" borderId="8" xfId="0" applyFont="1" applyFill="1" applyBorder="1" applyAlignment="1">
      <alignment horizontal="center" vertical="center"/>
    </xf>
    <xf numFmtId="0" fontId="29" fillId="2" borderId="9" xfId="0" applyFont="1" applyFill="1" applyBorder="1" applyAlignment="1">
      <alignment horizontal="center" vertical="center"/>
    </xf>
    <xf numFmtId="0" fontId="29" fillId="2" borderId="22"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15" xfId="0" applyFont="1" applyFill="1" applyBorder="1" applyAlignment="1">
      <alignment horizontal="center" vertical="center"/>
    </xf>
    <xf numFmtId="0" fontId="24" fillId="0" borderId="8"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11" xfId="0" applyFont="1" applyFill="1" applyBorder="1" applyAlignment="1">
      <alignment horizontal="left" vertical="center" wrapText="1"/>
    </xf>
    <xf numFmtId="0" fontId="24" fillId="0" borderId="10"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9" fillId="5" borderId="4" xfId="0" applyFont="1" applyFill="1" applyBorder="1" applyAlignment="1">
      <alignment horizontal="center" vertical="center"/>
    </xf>
    <xf numFmtId="0" fontId="29" fillId="5" borderId="7" xfId="0" applyFont="1" applyFill="1" applyBorder="1" applyAlignment="1">
      <alignment horizontal="center" vertical="center"/>
    </xf>
    <xf numFmtId="0" fontId="9" fillId="0" borderId="38" xfId="0" applyFont="1" applyBorder="1" applyAlignment="1">
      <alignment horizontal="center" vertical="center"/>
    </xf>
    <xf numFmtId="14" fontId="2" fillId="0" borderId="38" xfId="0" applyNumberFormat="1" applyFont="1" applyBorder="1" applyAlignment="1">
      <alignment horizontal="center" vertical="top"/>
    </xf>
    <xf numFmtId="14" fontId="2" fillId="0" borderId="14" xfId="0" applyNumberFormat="1" applyFont="1" applyBorder="1" applyAlignment="1">
      <alignment horizontal="center" vertical="center"/>
    </xf>
    <xf numFmtId="1" fontId="4" fillId="0" borderId="5" xfId="0" applyNumberFormat="1" applyFont="1" applyFill="1" applyBorder="1" applyAlignment="1" applyProtection="1">
      <alignment horizontal="center" vertical="center" wrapText="1"/>
    </xf>
    <xf numFmtId="1" fontId="4" fillId="0" borderId="10" xfId="0" applyNumberFormat="1" applyFont="1" applyFill="1" applyBorder="1" applyAlignment="1" applyProtection="1">
      <alignment horizontal="center" vertical="center" wrapText="1"/>
    </xf>
    <xf numFmtId="1" fontId="4" fillId="0" borderId="12" xfId="0" applyNumberFormat="1" applyFont="1" applyFill="1" applyBorder="1" applyAlignment="1" applyProtection="1">
      <alignment horizontal="center" vertical="center" wrapText="1"/>
    </xf>
    <xf numFmtId="0" fontId="4" fillId="0" borderId="3" xfId="0" applyFont="1" applyFill="1" applyBorder="1" applyAlignment="1">
      <alignment vertical="center" wrapText="1"/>
    </xf>
    <xf numFmtId="0" fontId="0" fillId="0" borderId="3" xfId="0" applyBorder="1" applyAlignment="1"/>
    <xf numFmtId="0" fontId="4" fillId="11" borderId="3" xfId="0" applyFont="1" applyFill="1" applyBorder="1" applyAlignment="1">
      <alignment horizontal="left" vertical="center" wrapText="1"/>
    </xf>
    <xf numFmtId="0" fontId="31" fillId="0" borderId="3" xfId="0" applyFont="1" applyFill="1" applyBorder="1" applyAlignment="1">
      <alignment horizontal="center" vertical="center" wrapText="1"/>
    </xf>
    <xf numFmtId="3" fontId="19" fillId="0" borderId="3" xfId="0" applyNumberFormat="1" applyFont="1" applyFill="1" applyBorder="1" applyAlignment="1">
      <alignment horizontal="right" vertical="center"/>
    </xf>
    <xf numFmtId="3" fontId="19" fillId="11" borderId="3" xfId="0" applyNumberFormat="1" applyFont="1" applyFill="1" applyBorder="1" applyAlignment="1">
      <alignment horizontal="right" vertical="center"/>
    </xf>
    <xf numFmtId="1" fontId="4" fillId="0" borderId="3" xfId="0" applyNumberFormat="1" applyFont="1" applyFill="1" applyBorder="1" applyAlignment="1" applyProtection="1">
      <alignment horizontal="center" vertical="center" wrapText="1"/>
    </xf>
    <xf numFmtId="0" fontId="19" fillId="0" borderId="10" xfId="0" applyFont="1" applyFill="1" applyBorder="1" applyAlignment="1">
      <alignment horizontal="center" vertical="center" wrapText="1"/>
    </xf>
    <xf numFmtId="0" fontId="4" fillId="0" borderId="5" xfId="0" applyFont="1" applyFill="1" applyBorder="1" applyAlignment="1">
      <alignment vertical="center" wrapText="1"/>
    </xf>
    <xf numFmtId="0" fontId="4" fillId="0" borderId="10" xfId="0" applyFont="1" applyFill="1" applyBorder="1" applyAlignment="1">
      <alignment vertical="center" wrapText="1"/>
    </xf>
    <xf numFmtId="0" fontId="4" fillId="0" borderId="12" xfId="0" applyFont="1" applyFill="1" applyBorder="1" applyAlignment="1">
      <alignment vertical="center" wrapText="1"/>
    </xf>
    <xf numFmtId="0" fontId="4" fillId="0" borderId="5" xfId="0" applyFont="1" applyFill="1" applyBorder="1" applyAlignment="1">
      <alignment horizontal="left" vertical="center" wrapText="1"/>
    </xf>
    <xf numFmtId="0" fontId="4" fillId="0" borderId="12" xfId="0" applyFont="1" applyFill="1" applyBorder="1" applyAlignment="1">
      <alignment horizontal="left" vertical="center" wrapText="1"/>
    </xf>
    <xf numFmtId="0" fontId="31" fillId="0" borderId="5" xfId="0" applyFont="1" applyFill="1" applyBorder="1" applyAlignment="1">
      <alignment horizontal="center" vertical="center" wrapText="1"/>
    </xf>
    <xf numFmtId="0" fontId="31" fillId="0" borderId="10" xfId="0" applyFont="1" applyFill="1" applyBorder="1" applyAlignment="1">
      <alignment horizontal="center" vertical="center" wrapText="1"/>
    </xf>
    <xf numFmtId="0" fontId="31" fillId="0" borderId="12" xfId="0" applyFont="1" applyFill="1" applyBorder="1" applyAlignment="1">
      <alignment horizontal="center" vertical="center" wrapText="1"/>
    </xf>
    <xf numFmtId="4" fontId="4" fillId="0" borderId="3" xfId="0" applyNumberFormat="1" applyFont="1" applyFill="1" applyBorder="1" applyAlignment="1">
      <alignment horizontal="right" vertical="center"/>
    </xf>
    <xf numFmtId="0" fontId="19" fillId="0" borderId="3" xfId="0" applyFont="1" applyBorder="1" applyAlignment="1">
      <alignment horizontal="center" vertical="center"/>
    </xf>
    <xf numFmtId="4" fontId="4" fillId="0" borderId="5" xfId="0" applyNumberFormat="1" applyFont="1" applyFill="1" applyBorder="1" applyAlignment="1">
      <alignment horizontal="right" vertical="center"/>
    </xf>
    <xf numFmtId="4" fontId="4" fillId="0" borderId="12" xfId="0" applyNumberFormat="1" applyFont="1" applyFill="1" applyBorder="1" applyAlignment="1">
      <alignment horizontal="right" vertical="center"/>
    </xf>
    <xf numFmtId="2" fontId="4" fillId="0" borderId="3" xfId="0" applyNumberFormat="1" applyFont="1" applyFill="1" applyBorder="1" applyAlignment="1">
      <alignment horizontal="center" vertical="center" wrapText="1"/>
    </xf>
    <xf numFmtId="4" fontId="4" fillId="0" borderId="6" xfId="0" applyNumberFormat="1" applyFont="1" applyFill="1" applyBorder="1" applyAlignment="1">
      <alignment horizontal="center" vertical="center"/>
    </xf>
    <xf numFmtId="4" fontId="4" fillId="11" borderId="6" xfId="0" applyNumberFormat="1" applyFont="1" applyFill="1" applyBorder="1" applyAlignment="1">
      <alignment horizontal="center" vertical="center"/>
    </xf>
    <xf numFmtId="4" fontId="4" fillId="11" borderId="7" xfId="0" applyNumberFormat="1" applyFont="1" applyFill="1" applyBorder="1" applyAlignment="1">
      <alignment horizontal="center" vertical="center"/>
    </xf>
    <xf numFmtId="0" fontId="33" fillId="0" borderId="3" xfId="0" applyFont="1" applyFill="1" applyBorder="1" applyAlignment="1">
      <alignment horizontal="center" vertical="center"/>
    </xf>
    <xf numFmtId="0" fontId="33" fillId="0" borderId="8" xfId="0" applyFont="1" applyFill="1" applyBorder="1" applyAlignment="1">
      <alignment horizontal="center" vertical="center"/>
    </xf>
    <xf numFmtId="0" fontId="33" fillId="0" borderId="13" xfId="0" applyFont="1" applyFill="1" applyBorder="1" applyAlignment="1">
      <alignment horizontal="center" vertical="center"/>
    </xf>
    <xf numFmtId="4" fontId="4" fillId="0" borderId="9" xfId="0" applyNumberFormat="1" applyFont="1" applyFill="1" applyBorder="1" applyAlignment="1">
      <alignment horizontal="center" vertical="center"/>
    </xf>
    <xf numFmtId="4" fontId="4" fillId="0" borderId="14" xfId="0" applyNumberFormat="1" applyFont="1" applyFill="1" applyBorder="1" applyAlignment="1">
      <alignment horizontal="center" vertical="center"/>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19" fillId="5" borderId="5" xfId="0" applyFont="1" applyFill="1" applyBorder="1" applyAlignment="1">
      <alignment horizontal="center" vertical="center"/>
    </xf>
    <xf numFmtId="0" fontId="19" fillId="5" borderId="12" xfId="0" applyFont="1" applyFill="1" applyBorder="1" applyAlignment="1">
      <alignment horizontal="center" vertical="center"/>
    </xf>
    <xf numFmtId="0" fontId="5" fillId="0" borderId="0" xfId="3" applyAlignment="1">
      <alignment horizontal="left" vertic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12" xfId="0" applyFont="1" applyBorder="1" applyAlignment="1">
      <alignment horizontal="center" vertical="center"/>
    </xf>
    <xf numFmtId="4" fontId="4" fillId="0" borderId="8" xfId="0" applyNumberFormat="1" applyFont="1" applyFill="1" applyBorder="1" applyAlignment="1">
      <alignment horizontal="center" vertical="center" wrapText="1"/>
    </xf>
    <xf numFmtId="4" fontId="4" fillId="0" borderId="9" xfId="0" applyNumberFormat="1" applyFont="1" applyFill="1" applyBorder="1" applyAlignment="1">
      <alignment horizontal="center" vertical="center" wrapText="1"/>
    </xf>
    <xf numFmtId="4" fontId="4" fillId="0" borderId="22" xfId="0" applyNumberFormat="1" applyFont="1" applyFill="1" applyBorder="1" applyAlignment="1">
      <alignment horizontal="center" vertical="center" wrapText="1"/>
    </xf>
    <xf numFmtId="4" fontId="4" fillId="0" borderId="13" xfId="0" applyNumberFormat="1" applyFont="1" applyFill="1" applyBorder="1" applyAlignment="1">
      <alignment horizontal="center" vertical="center" wrapText="1"/>
    </xf>
    <xf numFmtId="4" fontId="4" fillId="0" borderId="14" xfId="0" applyNumberFormat="1" applyFont="1" applyFill="1" applyBorder="1" applyAlignment="1">
      <alignment horizontal="center" vertical="center" wrapText="1"/>
    </xf>
    <xf numFmtId="4" fontId="4" fillId="0" borderId="15" xfId="0" applyNumberFormat="1" applyFont="1" applyFill="1" applyBorder="1" applyAlignment="1">
      <alignment horizontal="center" vertical="center" wrapText="1"/>
    </xf>
    <xf numFmtId="0" fontId="4" fillId="0" borderId="5" xfId="0" applyFont="1" applyBorder="1" applyAlignment="1">
      <alignment horizontal="center" vertical="center" wrapText="1"/>
    </xf>
    <xf numFmtId="0" fontId="4" fillId="0" borderId="12" xfId="0" applyFont="1" applyBorder="1" applyAlignment="1">
      <alignment horizontal="center" vertical="center" wrapText="1"/>
    </xf>
    <xf numFmtId="0" fontId="19" fillId="17" borderId="3" xfId="0" applyFont="1" applyFill="1" applyBorder="1" applyAlignment="1">
      <alignment horizontal="center" vertical="center"/>
    </xf>
    <xf numFmtId="0" fontId="34" fillId="0" borderId="0" xfId="3" applyFont="1" applyAlignment="1">
      <alignment horizontal="left"/>
    </xf>
    <xf numFmtId="0" fontId="19" fillId="0" borderId="4" xfId="0" applyFont="1" applyBorder="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4" fillId="0" borderId="5" xfId="0" applyFont="1" applyBorder="1" applyAlignment="1">
      <alignment horizontal="center"/>
    </xf>
    <xf numFmtId="0" fontId="4" fillId="0" borderId="10" xfId="0" applyFont="1" applyBorder="1" applyAlignment="1">
      <alignment horizontal="center"/>
    </xf>
    <xf numFmtId="0" fontId="4" fillId="0" borderId="12" xfId="0" applyFont="1" applyBorder="1" applyAlignment="1">
      <alignment horizontal="center"/>
    </xf>
    <xf numFmtId="0" fontId="4" fillId="0" borderId="8" xfId="0" applyFont="1" applyBorder="1" applyAlignment="1">
      <alignment horizontal="left" vertical="center"/>
    </xf>
    <xf numFmtId="0" fontId="4" fillId="0" borderId="22" xfId="0" applyFont="1" applyBorder="1" applyAlignment="1">
      <alignment horizontal="left" vertical="center"/>
    </xf>
    <xf numFmtId="0" fontId="4" fillId="0" borderId="11" xfId="0" applyFont="1" applyBorder="1" applyAlignment="1">
      <alignment horizontal="left" vertical="center"/>
    </xf>
    <xf numFmtId="0" fontId="4" fillId="0" borderId="32" xfId="0" applyFont="1" applyBorder="1" applyAlignment="1">
      <alignment horizontal="left" vertical="center"/>
    </xf>
    <xf numFmtId="0" fontId="4" fillId="0" borderId="13" xfId="0" applyFont="1" applyBorder="1" applyAlignment="1">
      <alignment horizontal="left" vertical="center"/>
    </xf>
    <xf numFmtId="0" fontId="4" fillId="0" borderId="15" xfId="0" applyFont="1" applyBorder="1" applyAlignment="1">
      <alignment horizontal="left" vertical="center"/>
    </xf>
    <xf numFmtId="2" fontId="19" fillId="0" borderId="4" xfId="0" applyNumberFormat="1" applyFont="1" applyFill="1" applyBorder="1" applyAlignment="1">
      <alignment horizontal="center" vertical="center"/>
    </xf>
    <xf numFmtId="2" fontId="19" fillId="0" borderId="7" xfId="0" applyNumberFormat="1" applyFont="1" applyFill="1" applyBorder="1" applyAlignment="1">
      <alignment horizontal="center" vertical="center"/>
    </xf>
    <xf numFmtId="2" fontId="4" fillId="0" borderId="8" xfId="0" applyNumberFormat="1" applyFont="1" applyFill="1" applyBorder="1" applyAlignment="1">
      <alignment horizontal="center" vertical="center" wrapText="1"/>
    </xf>
    <xf numFmtId="2" fontId="4" fillId="0" borderId="22" xfId="0" applyNumberFormat="1" applyFont="1" applyFill="1" applyBorder="1" applyAlignment="1">
      <alignment horizontal="center" vertical="center" wrapText="1"/>
    </xf>
    <xf numFmtId="2" fontId="4" fillId="0" borderId="13" xfId="0" applyNumberFormat="1" applyFont="1" applyFill="1" applyBorder="1" applyAlignment="1">
      <alignment horizontal="center" vertical="center" wrapText="1"/>
    </xf>
    <xf numFmtId="2" fontId="4" fillId="0" borderId="15" xfId="0" applyNumberFormat="1" applyFont="1" applyFill="1" applyBorder="1" applyAlignment="1">
      <alignment horizontal="center" vertical="center" wrapText="1"/>
    </xf>
    <xf numFmtId="0" fontId="19" fillId="17" borderId="4" xfId="0" applyFont="1" applyFill="1" applyBorder="1" applyAlignment="1">
      <alignment horizontal="center" vertical="center"/>
    </xf>
    <xf numFmtId="0" fontId="19" fillId="17" borderId="6" xfId="0" applyFont="1" applyFill="1" applyBorder="1" applyAlignment="1">
      <alignment horizontal="center" vertical="center"/>
    </xf>
    <xf numFmtId="0" fontId="19" fillId="17" borderId="7" xfId="0" applyFont="1" applyFill="1" applyBorder="1" applyAlignment="1">
      <alignment horizontal="center" vertical="center"/>
    </xf>
    <xf numFmtId="2" fontId="4" fillId="0" borderId="4" xfId="0" applyNumberFormat="1" applyFont="1" applyFill="1" applyBorder="1" applyAlignment="1">
      <alignment horizontal="center" vertical="center" wrapText="1"/>
    </xf>
    <xf numFmtId="2" fontId="4" fillId="0" borderId="7" xfId="0" applyNumberFormat="1" applyFont="1" applyFill="1" applyBorder="1" applyAlignment="1">
      <alignment horizontal="center" vertical="center" wrapText="1"/>
    </xf>
    <xf numFmtId="0" fontId="4" fillId="0" borderId="0" xfId="0" applyFont="1" applyBorder="1" applyAlignment="1">
      <alignment horizontal="left" vertical="center" wrapText="1"/>
    </xf>
    <xf numFmtId="0" fontId="34" fillId="0" borderId="0" xfId="0" applyFont="1" applyAlignment="1">
      <alignment horizontal="left"/>
    </xf>
    <xf numFmtId="14" fontId="13" fillId="0" borderId="14" xfId="0" applyNumberFormat="1" applyFont="1" applyBorder="1" applyAlignment="1">
      <alignment horizontal="center" vertical="center"/>
    </xf>
    <xf numFmtId="0" fontId="19" fillId="2" borderId="10"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10" xfId="0" applyFont="1" applyFill="1" applyBorder="1" applyAlignment="1">
      <alignment horizontal="center" vertical="center"/>
    </xf>
    <xf numFmtId="0" fontId="19" fillId="0" borderId="12" xfId="0" applyFont="1" applyFill="1" applyBorder="1" applyAlignment="1">
      <alignment horizontal="center" vertical="center"/>
    </xf>
    <xf numFmtId="4" fontId="4" fillId="0" borderId="10" xfId="0" applyNumberFormat="1" applyFont="1" applyFill="1" applyBorder="1" applyAlignment="1">
      <alignment horizontal="center" vertical="center"/>
    </xf>
    <xf numFmtId="4" fontId="2" fillId="0" borderId="4" xfId="0" applyNumberFormat="1" applyFont="1" applyFill="1" applyBorder="1" applyAlignment="1">
      <alignment horizontal="center" vertical="center"/>
    </xf>
    <xf numFmtId="4" fontId="2" fillId="0" borderId="7" xfId="0" applyNumberFormat="1" applyFont="1" applyFill="1" applyBorder="1" applyAlignment="1">
      <alignment horizontal="center" vertical="center"/>
    </xf>
    <xf numFmtId="0" fontId="4" fillId="0" borderId="5" xfId="0" applyFont="1" applyFill="1" applyBorder="1" applyAlignment="1">
      <alignment horizontal="center"/>
    </xf>
    <xf numFmtId="0" fontId="4" fillId="0" borderId="10" xfId="0" applyFont="1" applyFill="1" applyBorder="1" applyAlignment="1">
      <alignment horizontal="center"/>
    </xf>
    <xf numFmtId="0" fontId="4" fillId="0" borderId="12" xfId="0" applyFont="1" applyFill="1" applyBorder="1" applyAlignment="1">
      <alignment horizontal="center"/>
    </xf>
    <xf numFmtId="0" fontId="19" fillId="5" borderId="6" xfId="0" applyFont="1" applyFill="1" applyBorder="1" applyAlignment="1">
      <alignment horizontal="center" vertical="center" wrapText="1"/>
    </xf>
    <xf numFmtId="0" fontId="2" fillId="0" borderId="0" xfId="0" applyFont="1" applyFill="1" applyAlignment="1">
      <alignment horizontal="left" vertical="center"/>
    </xf>
    <xf numFmtId="0" fontId="2" fillId="0" borderId="0" xfId="0" applyFont="1" applyFill="1" applyAlignment="1">
      <alignment horizontal="left"/>
    </xf>
    <xf numFmtId="4" fontId="2" fillId="0" borderId="9" xfId="0" applyNumberFormat="1" applyFont="1" applyFill="1" applyBorder="1" applyAlignment="1">
      <alignment horizontal="left" vertical="center" wrapText="1"/>
    </xf>
    <xf numFmtId="4" fontId="4" fillId="0" borderId="61" xfId="0" applyNumberFormat="1" applyFont="1" applyFill="1" applyBorder="1" applyAlignment="1">
      <alignment horizontal="center" vertical="center" wrapText="1"/>
    </xf>
    <xf numFmtId="0" fontId="4" fillId="0" borderId="61" xfId="0" applyFont="1" applyFill="1" applyBorder="1" applyAlignment="1">
      <alignment horizontal="center" vertical="center" wrapText="1"/>
    </xf>
    <xf numFmtId="0" fontId="19" fillId="2" borderId="62" xfId="0" applyFont="1" applyFill="1" applyBorder="1" applyAlignment="1">
      <alignment horizontal="center" vertical="center" wrapText="1"/>
    </xf>
    <xf numFmtId="4" fontId="2" fillId="0" borderId="0" xfId="0" applyNumberFormat="1" applyFont="1" applyFill="1" applyBorder="1" applyAlignment="1">
      <alignment horizontal="left" vertical="center" wrapText="1"/>
    </xf>
    <xf numFmtId="0" fontId="2" fillId="0" borderId="0" xfId="0" applyFont="1" applyAlignment="1">
      <alignment horizontal="left" vertical="center"/>
    </xf>
    <xf numFmtId="4" fontId="19" fillId="2" borderId="3" xfId="0" applyNumberFormat="1" applyFont="1" applyFill="1" applyBorder="1" applyAlignment="1">
      <alignment horizontal="center" vertical="center" wrapText="1"/>
    </xf>
    <xf numFmtId="4" fontId="19" fillId="2" borderId="4" xfId="0" applyNumberFormat="1" applyFont="1" applyFill="1" applyBorder="1" applyAlignment="1">
      <alignment horizontal="center" vertical="center" wrapText="1"/>
    </xf>
    <xf numFmtId="0" fontId="19" fillId="2" borderId="61" xfId="0" applyFont="1" applyFill="1" applyBorder="1" applyAlignment="1">
      <alignment horizontal="center" vertical="center" wrapText="1"/>
    </xf>
    <xf numFmtId="0" fontId="19" fillId="2" borderId="41" xfId="0" applyFont="1" applyFill="1" applyBorder="1" applyAlignment="1">
      <alignment horizontal="center" vertical="center" wrapText="1"/>
    </xf>
    <xf numFmtId="4" fontId="4" fillId="0" borderId="3" xfId="0" applyNumberFormat="1" applyFont="1" applyFill="1" applyBorder="1" applyAlignment="1">
      <alignment horizontal="left" vertical="center" wrapText="1"/>
    </xf>
    <xf numFmtId="4" fontId="4" fillId="0" borderId="4" xfId="0" applyNumberFormat="1" applyFont="1" applyFill="1" applyBorder="1" applyAlignment="1">
      <alignment horizontal="center" vertical="center" wrapText="1"/>
    </xf>
    <xf numFmtId="4" fontId="4" fillId="0" borderId="6" xfId="0" applyNumberFormat="1" applyFont="1" applyFill="1" applyBorder="1" applyAlignment="1">
      <alignment horizontal="center" vertical="center" wrapText="1"/>
    </xf>
    <xf numFmtId="4" fontId="4" fillId="0" borderId="7" xfId="0" applyNumberFormat="1" applyFont="1" applyFill="1" applyBorder="1" applyAlignment="1">
      <alignment horizontal="center" vertical="center" wrapText="1"/>
    </xf>
    <xf numFmtId="2" fontId="4" fillId="0" borderId="6" xfId="0" applyNumberFormat="1" applyFont="1" applyFill="1" applyBorder="1" applyAlignment="1">
      <alignment horizontal="center" vertical="center"/>
    </xf>
    <xf numFmtId="4" fontId="2" fillId="0" borderId="3" xfId="0" applyNumberFormat="1" applyFont="1" applyFill="1" applyBorder="1" applyAlignment="1">
      <alignment horizontal="center" vertical="center" wrapText="1"/>
    </xf>
    <xf numFmtId="4" fontId="4" fillId="0" borderId="8" xfId="0" applyNumberFormat="1" applyFont="1" applyFill="1" applyBorder="1" applyAlignment="1">
      <alignment horizontal="left" vertical="center" wrapText="1"/>
    </xf>
    <xf numFmtId="4" fontId="4" fillId="0" borderId="22" xfId="0" applyNumberFormat="1" applyFont="1" applyFill="1" applyBorder="1" applyAlignment="1">
      <alignment horizontal="left" vertical="center" wrapText="1"/>
    </xf>
    <xf numFmtId="4" fontId="4" fillId="0" borderId="11" xfId="0" applyNumberFormat="1" applyFont="1" applyFill="1" applyBorder="1" applyAlignment="1">
      <alignment horizontal="left" vertical="center" wrapText="1"/>
    </xf>
    <xf numFmtId="4" fontId="4" fillId="0" borderId="32" xfId="0" applyNumberFormat="1" applyFont="1" applyFill="1" applyBorder="1" applyAlignment="1">
      <alignment horizontal="left" vertical="center" wrapText="1"/>
    </xf>
    <xf numFmtId="4" fontId="4" fillId="0" borderId="13" xfId="0" applyNumberFormat="1" applyFont="1" applyFill="1" applyBorder="1" applyAlignment="1">
      <alignment horizontal="left" vertical="center" wrapText="1"/>
    </xf>
    <xf numFmtId="4" fontId="4" fillId="0" borderId="15" xfId="0" applyNumberFormat="1" applyFont="1" applyFill="1" applyBorder="1" applyAlignment="1">
      <alignment horizontal="left" vertical="center" wrapText="1"/>
    </xf>
    <xf numFmtId="4" fontId="2" fillId="0" borderId="4" xfId="0" applyNumberFormat="1" applyFont="1" applyFill="1" applyBorder="1" applyAlignment="1">
      <alignment horizontal="center" vertical="center" wrapText="1"/>
    </xf>
    <xf numFmtId="4" fontId="2" fillId="0" borderId="6" xfId="0" applyNumberFormat="1" applyFont="1" applyFill="1" applyBorder="1" applyAlignment="1">
      <alignment horizontal="center" vertical="center" wrapText="1"/>
    </xf>
    <xf numFmtId="4" fontId="2" fillId="0" borderId="7" xfId="0" applyNumberFormat="1" applyFont="1" applyFill="1" applyBorder="1" applyAlignment="1">
      <alignment horizontal="center" vertical="center" wrapText="1"/>
    </xf>
    <xf numFmtId="172" fontId="19" fillId="2" borderId="3" xfId="0" applyNumberFormat="1" applyFont="1" applyFill="1" applyBorder="1" applyAlignment="1">
      <alignment horizontal="center" vertical="center" wrapText="1"/>
    </xf>
    <xf numFmtId="4" fontId="19" fillId="2" borderId="8" xfId="0" applyNumberFormat="1" applyFont="1" applyFill="1" applyBorder="1" applyAlignment="1">
      <alignment horizontal="center" vertical="center" wrapText="1"/>
    </xf>
    <xf numFmtId="4" fontId="19" fillId="2" borderId="22" xfId="0" applyNumberFormat="1" applyFont="1" applyFill="1" applyBorder="1" applyAlignment="1">
      <alignment horizontal="center" vertical="center" wrapText="1"/>
    </xf>
    <xf numFmtId="4" fontId="19" fillId="2" borderId="13" xfId="0" applyNumberFormat="1" applyFont="1" applyFill="1" applyBorder="1" applyAlignment="1">
      <alignment horizontal="center" vertical="center" wrapText="1"/>
    </xf>
    <xf numFmtId="4" fontId="19" fillId="2" borderId="15" xfId="0" applyNumberFormat="1" applyFont="1" applyFill="1" applyBorder="1" applyAlignment="1">
      <alignment horizontal="center" vertical="center" wrapText="1"/>
    </xf>
    <xf numFmtId="14" fontId="4" fillId="0" borderId="38" xfId="3" applyNumberFormat="1" applyFont="1" applyFill="1" applyBorder="1" applyAlignment="1" applyProtection="1">
      <alignment horizontal="center" vertical="top"/>
    </xf>
    <xf numFmtId="14" fontId="19" fillId="0" borderId="0" xfId="0" applyNumberFormat="1" applyFont="1" applyBorder="1" applyAlignment="1">
      <alignment horizontal="center" vertical="center"/>
    </xf>
    <xf numFmtId="0" fontId="19" fillId="4" borderId="3" xfId="0" applyFont="1" applyFill="1" applyBorder="1" applyAlignment="1">
      <alignment horizontal="center"/>
    </xf>
    <xf numFmtId="0" fontId="13" fillId="4" borderId="3" xfId="0" applyFont="1" applyFill="1" applyBorder="1" applyAlignment="1">
      <alignment horizontal="center" vertical="center" wrapText="1"/>
    </xf>
    <xf numFmtId="0" fontId="2" fillId="0" borderId="3" xfId="0" applyFont="1" applyFill="1" applyBorder="1" applyAlignment="1">
      <alignment horizontal="left" vertical="center"/>
    </xf>
    <xf numFmtId="0" fontId="2" fillId="3" borderId="4"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0" borderId="3"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3" borderId="12" xfId="0" applyFont="1" applyFill="1" applyBorder="1" applyAlignment="1">
      <alignment horizontal="left" vertical="center" wrapText="1"/>
    </xf>
    <xf numFmtId="0" fontId="4" fillId="3" borderId="64" xfId="0" applyFont="1" applyFill="1" applyBorder="1" applyAlignment="1">
      <alignment horizontal="center"/>
    </xf>
    <xf numFmtId="0" fontId="4" fillId="3" borderId="65" xfId="0" applyFont="1" applyFill="1" applyBorder="1" applyAlignment="1">
      <alignment horizontal="center"/>
    </xf>
    <xf numFmtId="0" fontId="4" fillId="0" borderId="31" xfId="0" applyNumberFormat="1" applyFont="1" applyFill="1" applyBorder="1" applyAlignment="1">
      <alignment horizontal="center" vertical="center" wrapText="1"/>
    </xf>
    <xf numFmtId="0" fontId="4" fillId="0" borderId="28" xfId="0" applyNumberFormat="1" applyFont="1" applyFill="1" applyBorder="1" applyAlignment="1">
      <alignment horizontal="center" vertical="center" wrapText="1"/>
    </xf>
    <xf numFmtId="0" fontId="4" fillId="0" borderId="30" xfId="0" applyNumberFormat="1" applyFont="1" applyFill="1" applyBorder="1" applyAlignment="1">
      <alignment horizontal="center" vertical="center" wrapText="1"/>
    </xf>
    <xf numFmtId="0" fontId="4" fillId="0" borderId="37" xfId="0" applyNumberFormat="1" applyFont="1" applyFill="1" applyBorder="1" applyAlignment="1">
      <alignment horizontal="center" vertical="center" wrapText="1"/>
    </xf>
    <xf numFmtId="0" fontId="4" fillId="0" borderId="63" xfId="0" applyNumberFormat="1" applyFont="1" applyFill="1" applyBorder="1" applyAlignment="1">
      <alignment horizontal="center" vertical="center" wrapText="1"/>
    </xf>
    <xf numFmtId="14" fontId="4" fillId="0" borderId="0" xfId="0" applyNumberFormat="1" applyFont="1" applyAlignment="1">
      <alignment horizontal="center"/>
    </xf>
    <xf numFmtId="0" fontId="4" fillId="0" borderId="0" xfId="0" applyFont="1" applyAlignment="1">
      <alignment horizontal="center"/>
    </xf>
    <xf numFmtId="1" fontId="4" fillId="0" borderId="5" xfId="0" applyNumberFormat="1" applyFont="1" applyBorder="1" applyAlignment="1">
      <alignment horizontal="center" vertical="center"/>
    </xf>
    <xf numFmtId="1" fontId="4" fillId="0" borderId="12" xfId="0" applyNumberFormat="1" applyFont="1" applyBorder="1" applyAlignment="1">
      <alignment horizontal="center" vertical="center"/>
    </xf>
    <xf numFmtId="0" fontId="4" fillId="0" borderId="5" xfId="0" applyFont="1" applyBorder="1" applyAlignment="1">
      <alignment horizontal="left" vertical="center" wrapText="1"/>
    </xf>
    <xf numFmtId="0" fontId="4" fillId="0" borderId="10" xfId="0" applyFont="1" applyBorder="1" applyAlignment="1">
      <alignment horizontal="left" vertical="center" wrapText="1"/>
    </xf>
    <xf numFmtId="0" fontId="4" fillId="0" borderId="10" xfId="0" applyFont="1" applyBorder="1" applyAlignment="1">
      <alignment horizontal="center" vertical="center" wrapText="1"/>
    </xf>
    <xf numFmtId="1" fontId="4" fillId="0" borderId="10" xfId="0" applyNumberFormat="1" applyFont="1" applyBorder="1" applyAlignment="1">
      <alignment horizontal="center" vertical="center"/>
    </xf>
    <xf numFmtId="4" fontId="4" fillId="0" borderId="5" xfId="0" applyNumberFormat="1" applyFont="1" applyFill="1" applyBorder="1" applyAlignment="1">
      <alignment horizontal="center" vertical="center" wrapText="1"/>
    </xf>
    <xf numFmtId="4" fontId="4" fillId="0" borderId="10" xfId="0" applyNumberFormat="1" applyFont="1" applyFill="1" applyBorder="1" applyAlignment="1">
      <alignment horizontal="center" vertical="center" wrapText="1"/>
    </xf>
    <xf numFmtId="0" fontId="4" fillId="0" borderId="12" xfId="0" applyFont="1" applyBorder="1" applyAlignment="1">
      <alignment horizontal="left" vertical="center" wrapText="1"/>
    </xf>
    <xf numFmtId="4" fontId="4" fillId="0" borderId="12" xfId="0" applyNumberFormat="1" applyFont="1" applyFill="1" applyBorder="1" applyAlignment="1">
      <alignment horizontal="center" vertical="center" wrapText="1"/>
    </xf>
    <xf numFmtId="0" fontId="4" fillId="3" borderId="3" xfId="0" applyNumberFormat="1" applyFont="1" applyFill="1" applyBorder="1" applyAlignment="1">
      <alignment horizontal="center" vertical="center"/>
    </xf>
    <xf numFmtId="0" fontId="4" fillId="0" borderId="13" xfId="0" applyNumberFormat="1" applyFont="1" applyBorder="1" applyAlignment="1">
      <alignment horizontal="left" vertical="center"/>
    </xf>
    <xf numFmtId="0" fontId="4" fillId="0" borderId="14" xfId="0" applyNumberFormat="1" applyFont="1" applyBorder="1" applyAlignment="1">
      <alignment horizontal="left" vertical="center"/>
    </xf>
    <xf numFmtId="0" fontId="4" fillId="0" borderId="15" xfId="0" applyNumberFormat="1" applyFont="1" applyBorder="1" applyAlignment="1">
      <alignment horizontal="left" vertical="center"/>
    </xf>
    <xf numFmtId="0" fontId="2" fillId="0" borderId="38" xfId="0" applyFont="1" applyBorder="1" applyAlignment="1">
      <alignment horizontal="center" vertical="top"/>
    </xf>
    <xf numFmtId="0" fontId="2" fillId="0" borderId="3" xfId="0" applyFont="1" applyBorder="1" applyAlignment="1">
      <alignment horizontal="left" vertical="center" wrapText="1"/>
    </xf>
    <xf numFmtId="1" fontId="2" fillId="0" borderId="3" xfId="0" applyNumberFormat="1" applyFont="1" applyBorder="1" applyAlignment="1">
      <alignment horizontal="center" vertical="center"/>
    </xf>
    <xf numFmtId="0" fontId="19" fillId="0" borderId="3" xfId="0" applyNumberFormat="1" applyFont="1" applyFill="1" applyBorder="1" applyAlignment="1">
      <alignment horizontal="center" vertical="center"/>
    </xf>
    <xf numFmtId="1" fontId="2" fillId="0" borderId="5" xfId="0" applyNumberFormat="1" applyFont="1" applyBorder="1" applyAlignment="1">
      <alignment horizontal="center" vertical="center"/>
    </xf>
    <xf numFmtId="1" fontId="2" fillId="0" borderId="12" xfId="0" applyNumberFormat="1" applyFont="1" applyBorder="1" applyAlignment="1">
      <alignment horizontal="center" vertical="center"/>
    </xf>
    <xf numFmtId="0" fontId="2" fillId="0" borderId="5" xfId="0" applyFont="1" applyBorder="1" applyAlignment="1">
      <alignment horizontal="left" vertical="center" wrapText="1"/>
    </xf>
    <xf numFmtId="0" fontId="2" fillId="0" borderId="12" xfId="0" applyFont="1" applyBorder="1" applyAlignment="1">
      <alignment horizontal="left" vertical="center" wrapText="1"/>
    </xf>
    <xf numFmtId="0" fontId="4" fillId="0" borderId="5" xfId="0" applyNumberFormat="1" applyFont="1" applyFill="1" applyBorder="1" applyAlignment="1">
      <alignment horizontal="center" vertical="center" wrapText="1"/>
    </xf>
    <xf numFmtId="0" fontId="4" fillId="0" borderId="12" xfId="0" applyNumberFormat="1" applyFont="1" applyFill="1" applyBorder="1" applyAlignment="1">
      <alignment horizontal="center" vertical="center" wrapText="1"/>
    </xf>
    <xf numFmtId="0" fontId="19" fillId="0" borderId="5" xfId="0" applyNumberFormat="1" applyFont="1" applyFill="1" applyBorder="1" applyAlignment="1">
      <alignment horizontal="center" vertical="center" wrapText="1"/>
    </xf>
    <xf numFmtId="0" fontId="19" fillId="0" borderId="12" xfId="0" applyNumberFormat="1" applyFont="1" applyFill="1" applyBorder="1" applyAlignment="1">
      <alignment horizontal="center" vertical="center" wrapText="1"/>
    </xf>
    <xf numFmtId="0" fontId="19" fillId="3" borderId="3" xfId="0" applyNumberFormat="1" applyFont="1" applyFill="1" applyBorder="1" applyAlignment="1">
      <alignment horizontal="center" vertical="center"/>
    </xf>
    <xf numFmtId="0" fontId="4" fillId="0" borderId="0" xfId="0" applyNumberFormat="1" applyFont="1" applyBorder="1" applyAlignment="1">
      <alignment horizontal="left" vertical="center"/>
    </xf>
    <xf numFmtId="14" fontId="4" fillId="0" borderId="38" xfId="0" applyNumberFormat="1" applyFont="1" applyBorder="1" applyAlignment="1">
      <alignment horizontal="center" vertical="center"/>
    </xf>
    <xf numFmtId="0" fontId="4" fillId="0" borderId="38" xfId="0" applyFont="1" applyBorder="1" applyAlignment="1">
      <alignment horizontal="center" vertical="center"/>
    </xf>
    <xf numFmtId="0" fontId="13" fillId="4" borderId="5" xfId="0" applyFont="1" applyFill="1" applyBorder="1" applyAlignment="1">
      <alignment horizontal="center" vertical="center" wrapText="1"/>
    </xf>
    <xf numFmtId="0" fontId="13" fillId="4" borderId="12" xfId="0" applyFont="1" applyFill="1" applyBorder="1" applyAlignment="1">
      <alignment horizontal="center" vertical="center" wrapText="1"/>
    </xf>
    <xf numFmtId="173" fontId="13" fillId="4" borderId="4" xfId="0" applyNumberFormat="1" applyFont="1" applyFill="1" applyBorder="1" applyAlignment="1">
      <alignment horizontal="center" vertical="center" wrapText="1"/>
    </xf>
    <xf numFmtId="173" fontId="13" fillId="4" borderId="7" xfId="0" applyNumberFormat="1" applyFont="1" applyFill="1" applyBorder="1" applyAlignment="1">
      <alignment horizontal="center" vertical="center" wrapText="1"/>
    </xf>
    <xf numFmtId="0" fontId="19" fillId="4" borderId="5" xfId="0" applyFont="1" applyFill="1" applyBorder="1" applyAlignment="1">
      <alignment horizontal="center" vertical="center"/>
    </xf>
    <xf numFmtId="0" fontId="19" fillId="4" borderId="12" xfId="0" applyFont="1" applyFill="1" applyBorder="1" applyAlignment="1">
      <alignment horizontal="center" vertical="center"/>
    </xf>
    <xf numFmtId="0" fontId="19" fillId="4" borderId="8" xfId="0" applyFont="1" applyFill="1" applyBorder="1" applyAlignment="1">
      <alignment horizontal="center" vertical="center"/>
    </xf>
    <xf numFmtId="0" fontId="19" fillId="4" borderId="22" xfId="0" applyFont="1" applyFill="1" applyBorder="1" applyAlignment="1">
      <alignment horizontal="center" vertical="center"/>
    </xf>
    <xf numFmtId="0" fontId="19" fillId="4" borderId="13" xfId="0" applyFont="1" applyFill="1" applyBorder="1" applyAlignment="1">
      <alignment horizontal="center" vertical="center"/>
    </xf>
    <xf numFmtId="0" fontId="19" fillId="4" borderId="15" xfId="0" applyFont="1" applyFill="1" applyBorder="1" applyAlignment="1">
      <alignment horizontal="center" vertical="center"/>
    </xf>
    <xf numFmtId="0" fontId="19" fillId="4" borderId="5" xfId="0" applyFont="1" applyFill="1" applyBorder="1" applyAlignment="1">
      <alignment horizontal="center" vertical="center" wrapText="1"/>
    </xf>
    <xf numFmtId="0" fontId="19" fillId="4" borderId="12" xfId="0" applyFont="1" applyFill="1" applyBorder="1" applyAlignment="1">
      <alignment horizontal="center" vertical="center" wrapText="1"/>
    </xf>
    <xf numFmtId="0" fontId="19" fillId="0" borderId="5" xfId="0" applyFont="1" applyBorder="1" applyAlignment="1">
      <alignment horizontal="center" vertical="center" wrapText="1"/>
    </xf>
    <xf numFmtId="0" fontId="19" fillId="0" borderId="12" xfId="0" applyFont="1" applyBorder="1" applyAlignment="1">
      <alignment horizontal="center" vertical="center" wrapText="1"/>
    </xf>
    <xf numFmtId="0" fontId="2" fillId="0" borderId="8" xfId="0" applyFont="1" applyBorder="1" applyAlignment="1">
      <alignment horizontal="left" vertical="center" wrapText="1"/>
    </xf>
    <xf numFmtId="0" fontId="2" fillId="0" borderId="13" xfId="0" applyFont="1" applyBorder="1" applyAlignment="1">
      <alignment horizontal="left" vertical="center" wrapText="1"/>
    </xf>
    <xf numFmtId="0" fontId="2" fillId="0" borderId="22" xfId="0" applyFont="1" applyBorder="1" applyAlignment="1">
      <alignment horizontal="left" vertical="center" wrapText="1"/>
    </xf>
    <xf numFmtId="0" fontId="2" fillId="0" borderId="15" xfId="0" applyFont="1" applyBorder="1" applyAlignment="1">
      <alignment horizontal="left" vertical="center" wrapText="1"/>
    </xf>
    <xf numFmtId="0" fontId="19" fillId="0" borderId="8" xfId="0" applyNumberFormat="1" applyFont="1" applyFill="1" applyBorder="1" applyAlignment="1">
      <alignment horizontal="center" vertical="center" wrapText="1"/>
    </xf>
    <xf numFmtId="0" fontId="19" fillId="0" borderId="22" xfId="0" applyNumberFormat="1" applyFont="1" applyFill="1" applyBorder="1" applyAlignment="1">
      <alignment horizontal="center" vertical="center" wrapText="1"/>
    </xf>
    <xf numFmtId="0" fontId="19" fillId="0" borderId="13" xfId="0" applyNumberFormat="1" applyFont="1" applyFill="1" applyBorder="1" applyAlignment="1">
      <alignment horizontal="center" vertical="center" wrapText="1"/>
    </xf>
    <xf numFmtId="0" fontId="19" fillId="0" borderId="15" xfId="0" applyNumberFormat="1" applyFont="1" applyFill="1" applyBorder="1" applyAlignment="1">
      <alignment horizontal="center" vertical="center" wrapText="1"/>
    </xf>
    <xf numFmtId="0" fontId="2" fillId="0" borderId="7" xfId="0" applyFont="1" applyBorder="1" applyAlignment="1">
      <alignment horizontal="left" vertical="center" wrapText="1"/>
    </xf>
    <xf numFmtId="0" fontId="2" fillId="0" borderId="5" xfId="0" applyFont="1" applyFill="1" applyBorder="1" applyAlignment="1">
      <alignment horizontal="center"/>
    </xf>
    <xf numFmtId="0" fontId="2" fillId="0" borderId="12" xfId="0" applyFont="1" applyFill="1" applyBorder="1" applyAlignment="1">
      <alignment horizontal="center"/>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2" fillId="0" borderId="11" xfId="0" applyFont="1" applyBorder="1" applyAlignment="1">
      <alignment horizontal="left" vertical="center" wrapText="1"/>
    </xf>
    <xf numFmtId="0" fontId="2" fillId="0" borderId="22" xfId="0" applyFont="1" applyBorder="1" applyAlignment="1">
      <alignment vertical="center" wrapText="1"/>
    </xf>
    <xf numFmtId="0" fontId="2" fillId="0" borderId="32" xfId="0" applyFont="1" applyBorder="1" applyAlignment="1">
      <alignment vertical="center" wrapText="1"/>
    </xf>
    <xf numFmtId="0" fontId="13" fillId="0" borderId="3" xfId="0" applyNumberFormat="1" applyFont="1" applyFill="1" applyBorder="1" applyAlignment="1">
      <alignment horizontal="center" vertical="center" wrapText="1"/>
    </xf>
    <xf numFmtId="0" fontId="13" fillId="0" borderId="5"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0" fontId="2" fillId="0" borderId="3" xfId="0" applyFont="1" applyBorder="1" applyAlignment="1">
      <alignment horizontal="center"/>
    </xf>
    <xf numFmtId="0" fontId="2" fillId="0" borderId="66" xfId="0" applyFont="1" applyBorder="1" applyAlignment="1">
      <alignment horizontal="center"/>
    </xf>
    <xf numFmtId="0" fontId="2" fillId="0" borderId="4" xfId="0" applyFont="1" applyBorder="1" applyAlignment="1">
      <alignment horizontal="left" vertical="center" wrapText="1"/>
    </xf>
    <xf numFmtId="0" fontId="2" fillId="0" borderId="5" xfId="0" applyFont="1" applyBorder="1" applyAlignment="1">
      <alignment horizontal="center"/>
    </xf>
    <xf numFmtId="0" fontId="2" fillId="0" borderId="10" xfId="0" applyFont="1" applyBorder="1" applyAlignment="1">
      <alignment horizontal="center"/>
    </xf>
    <xf numFmtId="0" fontId="2" fillId="0" borderId="12" xfId="0" applyFont="1" applyBorder="1" applyAlignment="1">
      <alignment horizontal="center"/>
    </xf>
    <xf numFmtId="0" fontId="13" fillId="0" borderId="37" xfId="0" applyFont="1" applyBorder="1" applyAlignment="1">
      <alignment horizontal="center" vertical="center" wrapText="1"/>
    </xf>
    <xf numFmtId="0" fontId="13" fillId="0" borderId="36" xfId="0" applyFont="1" applyBorder="1" applyAlignment="1">
      <alignment horizontal="center" vertical="center" wrapText="1"/>
    </xf>
    <xf numFmtId="0" fontId="36" fillId="0" borderId="5" xfId="0" applyFont="1" applyBorder="1" applyAlignment="1">
      <alignment horizontal="center"/>
    </xf>
    <xf numFmtId="0" fontId="36" fillId="0" borderId="10" xfId="0" applyFont="1" applyBorder="1" applyAlignment="1">
      <alignment horizontal="center"/>
    </xf>
    <xf numFmtId="0" fontId="19" fillId="0" borderId="8" xfId="0" applyFont="1" applyFill="1" applyBorder="1" applyAlignment="1">
      <alignment horizontal="left" vertical="top" wrapText="1"/>
    </xf>
    <xf numFmtId="0" fontId="19" fillId="0" borderId="9" xfId="0" applyFont="1" applyFill="1" applyBorder="1" applyAlignment="1">
      <alignment horizontal="left" vertical="top" wrapText="1"/>
    </xf>
    <xf numFmtId="0" fontId="19" fillId="0" borderId="22" xfId="0" applyFont="1" applyFill="1" applyBorder="1" applyAlignment="1">
      <alignment horizontal="left" vertical="top" wrapText="1"/>
    </xf>
    <xf numFmtId="0" fontId="19" fillId="0" borderId="11"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32" xfId="0" applyFont="1" applyFill="1" applyBorder="1" applyAlignment="1">
      <alignment horizontal="left" vertical="top" wrapText="1"/>
    </xf>
    <xf numFmtId="0" fontId="19" fillId="0" borderId="13" xfId="0" applyFont="1" applyFill="1" applyBorder="1" applyAlignment="1">
      <alignment horizontal="left" vertical="top" wrapText="1"/>
    </xf>
    <xf numFmtId="0" fontId="19" fillId="0" borderId="14" xfId="0" applyFont="1" applyFill="1" applyBorder="1" applyAlignment="1">
      <alignment horizontal="left" vertical="top" wrapText="1"/>
    </xf>
    <xf numFmtId="0" fontId="19" fillId="0" borderId="15" xfId="0" applyFont="1" applyFill="1" applyBorder="1" applyAlignment="1">
      <alignment horizontal="left" vertical="top" wrapText="1"/>
    </xf>
    <xf numFmtId="0" fontId="4" fillId="0" borderId="7" xfId="0" applyFont="1" applyBorder="1" applyAlignment="1">
      <alignment vertical="center"/>
    </xf>
    <xf numFmtId="0" fontId="13" fillId="5" borderId="3" xfId="0" applyFont="1" applyFill="1" applyBorder="1" applyAlignment="1">
      <alignment horizontal="center" vertical="center" wrapText="1"/>
    </xf>
    <xf numFmtId="9" fontId="2" fillId="0" borderId="3" xfId="0" applyNumberFormat="1" applyFont="1" applyBorder="1" applyAlignment="1">
      <alignment horizontal="center" vertical="center"/>
    </xf>
    <xf numFmtId="9" fontId="2" fillId="0" borderId="3" xfId="0" applyNumberFormat="1" applyFont="1" applyBorder="1" applyAlignment="1">
      <alignment horizontal="center" vertical="center"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22"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32" xfId="0"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14"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4" xfId="0" applyFont="1" applyBorder="1" applyAlignment="1">
      <alignment horizontal="center" vertical="center" wrapText="1"/>
    </xf>
    <xf numFmtId="0" fontId="2" fillId="0" borderId="7"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7" xfId="0" applyFont="1" applyBorder="1" applyAlignment="1">
      <alignment horizontal="center" vertical="center" wrapText="1"/>
    </xf>
    <xf numFmtId="0" fontId="2" fillId="0" borderId="6" xfId="0" applyFont="1" applyBorder="1" applyAlignment="1">
      <alignment horizontal="left" vertical="center" wrapText="1"/>
    </xf>
    <xf numFmtId="0" fontId="2" fillId="0" borderId="37" xfId="0" applyFont="1" applyBorder="1" applyAlignment="1">
      <alignment horizontal="left" vertical="center" wrapText="1"/>
    </xf>
    <xf numFmtId="0" fontId="2" fillId="0" borderId="0" xfId="0" applyFont="1" applyBorder="1" applyAlignment="1">
      <alignment horizontal="left" vertical="center" wrapText="1"/>
    </xf>
    <xf numFmtId="0" fontId="19" fillId="0" borderId="4" xfId="0" applyNumberFormat="1" applyFont="1" applyFill="1" applyBorder="1" applyAlignment="1">
      <alignment horizontal="center" vertical="center" wrapText="1"/>
    </xf>
    <xf numFmtId="0" fontId="19" fillId="0" borderId="7" xfId="0" applyNumberFormat="1"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8" xfId="0" applyFont="1" applyBorder="1" applyAlignment="1">
      <alignment horizontal="center" vertical="center" wrapText="1"/>
    </xf>
    <xf numFmtId="0" fontId="13" fillId="0" borderId="22" xfId="0" applyFont="1" applyBorder="1" applyAlignment="1">
      <alignment horizontal="center" vertical="center" wrapText="1"/>
    </xf>
    <xf numFmtId="0" fontId="2" fillId="0" borderId="36" xfId="0" applyFont="1" applyBorder="1" applyAlignment="1">
      <alignment horizontal="left" vertical="center" wrapText="1"/>
    </xf>
    <xf numFmtId="0" fontId="2" fillId="0" borderId="67" xfId="0" applyFont="1" applyBorder="1" applyAlignment="1">
      <alignment horizontal="left" vertical="center" wrapText="1"/>
    </xf>
    <xf numFmtId="0" fontId="19" fillId="0" borderId="27" xfId="0" applyNumberFormat="1" applyFont="1" applyFill="1" applyBorder="1" applyAlignment="1">
      <alignment horizontal="center" vertical="center" wrapText="1"/>
    </xf>
    <xf numFmtId="0" fontId="19" fillId="0" borderId="67" xfId="0" applyNumberFormat="1" applyFont="1" applyFill="1" applyBorder="1" applyAlignment="1">
      <alignment horizontal="center" vertical="center" wrapText="1"/>
    </xf>
    <xf numFmtId="0" fontId="13" fillId="0" borderId="3" xfId="0" applyFont="1" applyBorder="1" applyAlignment="1">
      <alignment horizontal="left" vertical="center"/>
    </xf>
    <xf numFmtId="0" fontId="2" fillId="0" borderId="10" xfId="0" applyFont="1" applyBorder="1" applyAlignment="1">
      <alignment horizontal="left" vertical="center" wrapText="1"/>
    </xf>
    <xf numFmtId="0" fontId="13" fillId="4" borderId="3" xfId="0" applyFont="1" applyFill="1" applyBorder="1" applyAlignment="1">
      <alignment horizontal="center" vertical="center"/>
    </xf>
    <xf numFmtId="14" fontId="2" fillId="0" borderId="0" xfId="0" applyNumberFormat="1" applyFont="1" applyAlignment="1">
      <alignment horizontal="center" vertical="top"/>
    </xf>
    <xf numFmtId="0" fontId="2" fillId="0" borderId="0" xfId="0" applyFont="1" applyAlignment="1">
      <alignment horizontal="center" vertical="top"/>
    </xf>
    <xf numFmtId="14" fontId="13" fillId="0" borderId="14" xfId="0" applyNumberFormat="1" applyFont="1" applyBorder="1" applyAlignment="1">
      <alignment horizontal="center"/>
    </xf>
    <xf numFmtId="0" fontId="13" fillId="0" borderId="13" xfId="0" applyFont="1" applyBorder="1" applyAlignment="1">
      <alignment horizontal="center" vertical="center" wrapText="1"/>
    </xf>
    <xf numFmtId="0" fontId="13" fillId="0" borderId="15" xfId="0" applyFont="1" applyBorder="1" applyAlignment="1">
      <alignment horizontal="center" vertical="center" wrapText="1"/>
    </xf>
    <xf numFmtId="174" fontId="4" fillId="0" borderId="4" xfId="0" applyNumberFormat="1" applyFont="1" applyBorder="1" applyAlignment="1">
      <alignment horizontal="left" vertical="center" wrapText="1"/>
    </xf>
    <xf numFmtId="174" fontId="4" fillId="0" borderId="6" xfId="0" applyNumberFormat="1" applyFont="1" applyBorder="1" applyAlignment="1">
      <alignment horizontal="left" vertical="center" wrapText="1"/>
    </xf>
    <xf numFmtId="174" fontId="4" fillId="0" borderId="7" xfId="0" applyNumberFormat="1" applyFont="1" applyBorder="1" applyAlignment="1">
      <alignment horizontal="left" vertical="center" wrapText="1"/>
    </xf>
    <xf numFmtId="0" fontId="13" fillId="2" borderId="5" xfId="0" applyFont="1" applyFill="1" applyBorder="1" applyAlignment="1">
      <alignment horizontal="center" vertical="center"/>
    </xf>
    <xf numFmtId="0" fontId="13" fillId="2" borderId="12" xfId="0" applyFont="1" applyFill="1" applyBorder="1" applyAlignment="1">
      <alignment horizontal="center" vertical="center"/>
    </xf>
    <xf numFmtId="175" fontId="4" fillId="0" borderId="5" xfId="0" applyNumberFormat="1" applyFont="1" applyBorder="1" applyAlignment="1">
      <alignment horizontal="center" vertical="center"/>
    </xf>
    <xf numFmtId="175" fontId="4" fillId="0" borderId="12" xfId="0" applyNumberFormat="1" applyFont="1" applyBorder="1" applyAlignment="1">
      <alignment horizontal="center" vertical="center"/>
    </xf>
    <xf numFmtId="0" fontId="13" fillId="0" borderId="3" xfId="0" applyFont="1" applyBorder="1" applyAlignment="1">
      <alignment horizontal="left" vertical="center" wrapText="1"/>
    </xf>
    <xf numFmtId="0" fontId="2" fillId="6" borderId="3" xfId="0" applyFont="1" applyFill="1" applyBorder="1" applyAlignment="1">
      <alignment horizontal="center" vertical="center" wrapText="1"/>
    </xf>
    <xf numFmtId="0" fontId="2" fillId="2" borderId="3" xfId="0" applyFont="1" applyFill="1" applyBorder="1" applyAlignment="1">
      <alignment wrapText="1"/>
    </xf>
    <xf numFmtId="0" fontId="2" fillId="0" borderId="8"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5" xfId="0" applyFont="1" applyBorder="1" applyAlignment="1">
      <alignment horizontal="center" vertical="center" wrapText="1"/>
    </xf>
    <xf numFmtId="0" fontId="13" fillId="6" borderId="3" xfId="0" applyFont="1" applyFill="1" applyBorder="1" applyAlignment="1">
      <alignment horizontal="left" vertical="center" wrapText="1"/>
    </xf>
    <xf numFmtId="0" fontId="13" fillId="4" borderId="3" xfId="0" applyFont="1" applyFill="1" applyBorder="1" applyAlignment="1">
      <alignment horizontal="left" vertical="center" wrapText="1"/>
    </xf>
    <xf numFmtId="0" fontId="4" fillId="0" borderId="9" xfId="0" applyFont="1" applyBorder="1" applyAlignment="1">
      <alignment horizontal="center"/>
    </xf>
    <xf numFmtId="0" fontId="4" fillId="0" borderId="0" xfId="0" applyFont="1" applyBorder="1" applyAlignment="1">
      <alignment horizontal="center"/>
    </xf>
    <xf numFmtId="0" fontId="4" fillId="0" borderId="14" xfId="0" applyFont="1" applyBorder="1" applyAlignment="1">
      <alignment horizontal="center"/>
    </xf>
    <xf numFmtId="0" fontId="19" fillId="6" borderId="5" xfId="0" applyFont="1" applyFill="1" applyBorder="1" applyAlignment="1">
      <alignment horizontal="left" vertical="center" wrapText="1"/>
    </xf>
    <xf numFmtId="0" fontId="19" fillId="6" borderId="12" xfId="0" applyFont="1" applyFill="1" applyBorder="1" applyAlignment="1">
      <alignment horizontal="left" vertical="center" wrapText="1"/>
    </xf>
    <xf numFmtId="3" fontId="13" fillId="6" borderId="3" xfId="0" applyNumberFormat="1" applyFont="1" applyFill="1" applyBorder="1" applyAlignment="1">
      <alignment horizontal="left" vertical="center" wrapText="1"/>
    </xf>
    <xf numFmtId="0" fontId="4" fillId="0" borderId="22" xfId="0" applyFont="1" applyBorder="1" applyAlignment="1">
      <alignment horizontal="center"/>
    </xf>
    <xf numFmtId="0" fontId="4" fillId="0" borderId="32" xfId="0" applyFont="1" applyBorder="1" applyAlignment="1">
      <alignment horizontal="center"/>
    </xf>
    <xf numFmtId="0" fontId="4" fillId="0" borderId="15" xfId="0" applyFont="1" applyBorder="1" applyAlignment="1">
      <alignment horizontal="center"/>
    </xf>
    <xf numFmtId="0" fontId="19" fillId="6" borderId="3" xfId="0"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32"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3" xfId="0" applyFont="1" applyBorder="1" applyAlignment="1">
      <alignment horizontal="center" vertical="center" wrapText="1"/>
    </xf>
    <xf numFmtId="0" fontId="13" fillId="0" borderId="5" xfId="0" applyFont="1" applyBorder="1" applyAlignment="1">
      <alignment horizontal="left" vertical="center" wrapText="1"/>
    </xf>
    <xf numFmtId="0" fontId="13" fillId="0" borderId="12" xfId="0" applyFont="1" applyBorder="1" applyAlignment="1">
      <alignment horizontal="left" vertical="center" wrapText="1"/>
    </xf>
    <xf numFmtId="0" fontId="2" fillId="0" borderId="5" xfId="0" applyFont="1" applyBorder="1" applyAlignment="1">
      <alignment horizontal="center" vertical="center" wrapText="1"/>
    </xf>
    <xf numFmtId="0" fontId="2" fillId="0" borderId="12" xfId="0" applyFont="1" applyBorder="1" applyAlignment="1">
      <alignment horizontal="center" vertical="center" wrapText="1"/>
    </xf>
    <xf numFmtId="0" fontId="19" fillId="6" borderId="10" xfId="0" applyFont="1" applyFill="1" applyBorder="1" applyAlignment="1">
      <alignment horizontal="left" vertical="center" wrapText="1"/>
    </xf>
    <xf numFmtId="0" fontId="4" fillId="6"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3" fillId="4" borderId="12" xfId="0" applyFont="1" applyFill="1" applyBorder="1" applyAlignment="1">
      <alignment horizontal="left" vertical="center" wrapText="1"/>
    </xf>
    <xf numFmtId="0" fontId="13" fillId="6" borderId="5" xfId="0" applyFont="1" applyFill="1" applyBorder="1" applyAlignment="1">
      <alignment horizontal="left" vertical="center" wrapText="1"/>
    </xf>
    <xf numFmtId="0" fontId="13" fillId="6" borderId="12" xfId="0" applyFont="1" applyFill="1" applyBorder="1" applyAlignment="1">
      <alignment horizontal="left" vertical="center" wrapText="1"/>
    </xf>
    <xf numFmtId="0" fontId="2" fillId="6" borderId="5" xfId="0" applyFont="1" applyFill="1" applyBorder="1" applyAlignment="1">
      <alignment horizontal="center" vertical="center" wrapText="1"/>
    </xf>
    <xf numFmtId="0" fontId="2" fillId="6" borderId="12" xfId="0" applyFont="1" applyFill="1" applyBorder="1" applyAlignment="1">
      <alignment horizontal="center" vertical="center" wrapText="1"/>
    </xf>
    <xf numFmtId="0" fontId="13" fillId="2" borderId="3" xfId="0" applyFont="1" applyFill="1" applyBorder="1" applyAlignment="1">
      <alignment horizontal="left" vertical="center" wrapText="1"/>
    </xf>
    <xf numFmtId="0" fontId="9" fillId="0" borderId="38" xfId="0" applyFont="1" applyFill="1" applyBorder="1" applyAlignment="1">
      <alignment horizontal="center" wrapText="1"/>
    </xf>
    <xf numFmtId="0" fontId="13" fillId="4" borderId="4" xfId="0" applyFont="1" applyFill="1" applyBorder="1" applyAlignment="1">
      <alignment horizontal="center" vertical="center"/>
    </xf>
    <xf numFmtId="0" fontId="13" fillId="4" borderId="7" xfId="0" applyFont="1" applyFill="1" applyBorder="1" applyAlignment="1">
      <alignment horizontal="center" vertical="center"/>
    </xf>
    <xf numFmtId="0" fontId="13" fillId="4" borderId="6" xfId="0" applyFont="1" applyFill="1" applyBorder="1" applyAlignment="1">
      <alignment horizontal="center" vertical="center"/>
    </xf>
    <xf numFmtId="0" fontId="13" fillId="4" borderId="4" xfId="0" applyFont="1" applyFill="1" applyBorder="1" applyAlignment="1">
      <alignment horizontal="left" vertical="top"/>
    </xf>
    <xf numFmtId="0" fontId="13" fillId="4" borderId="6" xfId="0" applyFont="1" applyFill="1" applyBorder="1" applyAlignment="1">
      <alignment horizontal="left" vertical="top"/>
    </xf>
    <xf numFmtId="0" fontId="13" fillId="4" borderId="7" xfId="0" applyFont="1" applyFill="1" applyBorder="1" applyAlignment="1">
      <alignment horizontal="left" vertical="top"/>
    </xf>
    <xf numFmtId="0" fontId="13" fillId="0" borderId="4" xfId="0" applyFont="1" applyBorder="1" applyAlignment="1">
      <alignment horizontal="left" vertical="center" wrapText="1"/>
    </xf>
    <xf numFmtId="0" fontId="13" fillId="0" borderId="6"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3" fillId="0" borderId="2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horizontal="left" vertical="center" wrapText="1"/>
    </xf>
    <xf numFmtId="3" fontId="19" fillId="0" borderId="5" xfId="0" applyNumberFormat="1" applyFont="1" applyBorder="1" applyAlignment="1">
      <alignment horizontal="center" vertical="center"/>
    </xf>
    <xf numFmtId="3" fontId="19" fillId="0" borderId="12" xfId="0" applyNumberFormat="1" applyFont="1" applyBorder="1" applyAlignment="1">
      <alignment horizontal="center" vertical="center"/>
    </xf>
    <xf numFmtId="0" fontId="19" fillId="0" borderId="8" xfId="0" applyFont="1" applyFill="1" applyBorder="1" applyAlignment="1">
      <alignment horizontal="left" vertical="center" wrapText="1"/>
    </xf>
    <xf numFmtId="0" fontId="19" fillId="0" borderId="9" xfId="0" applyFont="1" applyFill="1" applyBorder="1" applyAlignment="1">
      <alignment horizontal="left" vertical="center" wrapText="1"/>
    </xf>
    <xf numFmtId="0" fontId="19" fillId="0" borderId="22" xfId="0" applyFont="1" applyFill="1" applyBorder="1" applyAlignment="1">
      <alignment horizontal="left" vertical="center" wrapText="1"/>
    </xf>
    <xf numFmtId="0" fontId="19" fillId="0" borderId="13" xfId="0" applyFont="1" applyFill="1" applyBorder="1" applyAlignment="1">
      <alignment horizontal="left" vertical="center" wrapText="1"/>
    </xf>
    <xf numFmtId="0" fontId="19" fillId="0" borderId="14" xfId="0" applyFont="1" applyFill="1" applyBorder="1" applyAlignment="1">
      <alignment horizontal="left" vertical="center" wrapText="1"/>
    </xf>
    <xf numFmtId="0" fontId="19" fillId="0" borderId="15" xfId="0" applyFont="1" applyFill="1" applyBorder="1" applyAlignment="1">
      <alignment horizontal="left" vertical="center" wrapText="1"/>
    </xf>
    <xf numFmtId="4" fontId="19" fillId="0" borderId="5" xfId="0" applyNumberFormat="1" applyFont="1" applyFill="1" applyBorder="1" applyAlignment="1">
      <alignment horizontal="center" vertical="center"/>
    </xf>
    <xf numFmtId="4" fontId="19" fillId="0" borderId="12" xfId="0" applyNumberFormat="1" applyFont="1" applyFill="1" applyBorder="1" applyAlignment="1">
      <alignment horizontal="center" vertical="center"/>
    </xf>
    <xf numFmtId="0" fontId="13" fillId="0" borderId="7" xfId="0" applyFont="1" applyBorder="1" applyAlignment="1">
      <alignment horizontal="left" vertical="center" wrapText="1"/>
    </xf>
    <xf numFmtId="0" fontId="2" fillId="0" borderId="4"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7" xfId="0" applyFont="1" applyFill="1" applyBorder="1" applyAlignment="1">
      <alignment horizontal="left" vertical="center" wrapText="1"/>
    </xf>
    <xf numFmtId="2" fontId="19" fillId="11" borderId="3" xfId="0" applyNumberFormat="1" applyFont="1" applyFill="1" applyBorder="1" applyAlignment="1">
      <alignment horizontal="center" vertical="center"/>
    </xf>
    <xf numFmtId="3" fontId="13" fillId="0" borderId="4" xfId="0" applyNumberFormat="1" applyFont="1" applyFill="1" applyBorder="1" applyAlignment="1">
      <alignment horizontal="left" vertical="center" wrapText="1"/>
    </xf>
    <xf numFmtId="3" fontId="13" fillId="0" borderId="6" xfId="0" applyNumberFormat="1" applyFont="1" applyFill="1" applyBorder="1" applyAlignment="1">
      <alignment horizontal="left" vertical="center" wrapText="1"/>
    </xf>
    <xf numFmtId="3" fontId="13" fillId="0" borderId="7" xfId="0" applyNumberFormat="1" applyFont="1" applyFill="1" applyBorder="1" applyAlignment="1">
      <alignment horizontal="left" vertical="center" wrapText="1"/>
    </xf>
    <xf numFmtId="10" fontId="4" fillId="0" borderId="3" xfId="0" applyNumberFormat="1" applyFont="1" applyBorder="1" applyAlignment="1">
      <alignment horizontal="center" vertical="center"/>
    </xf>
    <xf numFmtId="2" fontId="19" fillId="0" borderId="3" xfId="0" applyNumberFormat="1" applyFont="1" applyFill="1" applyBorder="1" applyAlignment="1">
      <alignment horizontal="right" vertical="center"/>
    </xf>
    <xf numFmtId="2" fontId="19" fillId="11" borderId="3" xfId="0" applyNumberFormat="1" applyFont="1" applyFill="1" applyBorder="1" applyAlignment="1">
      <alignment horizontal="right" vertical="center"/>
    </xf>
    <xf numFmtId="4" fontId="13" fillId="4" borderId="5" xfId="0" applyNumberFormat="1" applyFont="1" applyFill="1" applyBorder="1" applyAlignment="1">
      <alignment horizontal="center" vertical="center" wrapText="1"/>
    </xf>
    <xf numFmtId="4" fontId="13" fillId="4" borderId="12" xfId="0" applyNumberFormat="1" applyFont="1" applyFill="1" applyBorder="1" applyAlignment="1">
      <alignment horizontal="center" vertical="center" wrapText="1"/>
    </xf>
    <xf numFmtId="0" fontId="35" fillId="2" borderId="8" xfId="0" applyFont="1" applyFill="1" applyBorder="1" applyAlignment="1">
      <alignment horizontal="center" vertical="center" wrapText="1"/>
    </xf>
    <xf numFmtId="0" fontId="35" fillId="2" borderId="9" xfId="0" applyFont="1" applyFill="1" applyBorder="1" applyAlignment="1">
      <alignment horizontal="center" vertical="center" wrapText="1"/>
    </xf>
    <xf numFmtId="0" fontId="35" fillId="2" borderId="22" xfId="0" applyFont="1" applyFill="1" applyBorder="1" applyAlignment="1">
      <alignment horizontal="center" vertical="center" wrapText="1"/>
    </xf>
    <xf numFmtId="0" fontId="35" fillId="2" borderId="11" xfId="0" applyFont="1" applyFill="1" applyBorder="1" applyAlignment="1">
      <alignment horizontal="center" vertical="center" wrapText="1"/>
    </xf>
    <xf numFmtId="0" fontId="35" fillId="2" borderId="0" xfId="0" applyFont="1" applyFill="1" applyBorder="1" applyAlignment="1">
      <alignment horizontal="center" vertical="center" wrapText="1"/>
    </xf>
    <xf numFmtId="0" fontId="35" fillId="2" borderId="32"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35" fillId="2" borderId="14" xfId="0" applyFont="1" applyFill="1" applyBorder="1" applyAlignment="1">
      <alignment horizontal="center" vertical="center" wrapText="1"/>
    </xf>
    <xf numFmtId="0" fontId="35" fillId="2" borderId="15" xfId="0" applyFont="1" applyFill="1" applyBorder="1" applyAlignment="1">
      <alignment horizontal="center" vertical="center" wrapText="1"/>
    </xf>
    <xf numFmtId="0" fontId="19" fillId="2" borderId="5" xfId="0" applyFont="1" applyFill="1" applyBorder="1" applyAlignment="1">
      <alignment horizontal="left" vertical="center"/>
    </xf>
    <xf numFmtId="0" fontId="19" fillId="2" borderId="12" xfId="0" applyFont="1" applyFill="1" applyBorder="1" applyAlignment="1">
      <alignment horizontal="left" vertical="center"/>
    </xf>
    <xf numFmtId="0" fontId="4" fillId="2" borderId="5" xfId="0" applyFont="1" applyFill="1" applyBorder="1" applyAlignment="1">
      <alignment horizontal="center" vertical="center"/>
    </xf>
    <xf numFmtId="0" fontId="4" fillId="0" borderId="9" xfId="0" applyFont="1" applyBorder="1" applyAlignment="1">
      <alignment horizontal="left" vertical="center"/>
    </xf>
    <xf numFmtId="0" fontId="4" fillId="0" borderId="14" xfId="0" applyFont="1" applyBorder="1" applyAlignment="1">
      <alignment horizontal="left" vertical="center"/>
    </xf>
    <xf numFmtId="0" fontId="4" fillId="0" borderId="8" xfId="0" applyFont="1" applyFill="1" applyBorder="1" applyAlignment="1">
      <alignment horizontal="left" vertical="center"/>
    </xf>
    <xf numFmtId="0" fontId="4" fillId="0" borderId="22" xfId="0" applyFont="1" applyFill="1" applyBorder="1" applyAlignment="1">
      <alignment horizontal="left" vertical="center"/>
    </xf>
    <xf numFmtId="0" fontId="4" fillId="0" borderId="13" xfId="0" applyFont="1" applyFill="1" applyBorder="1" applyAlignment="1">
      <alignment horizontal="left" vertical="center"/>
    </xf>
    <xf numFmtId="0" fontId="4" fillId="0" borderId="14" xfId="0" applyFont="1" applyFill="1" applyBorder="1" applyAlignment="1">
      <alignment horizontal="left" vertical="center"/>
    </xf>
    <xf numFmtId="0" fontId="4" fillId="0" borderId="15" xfId="0" applyFont="1" applyFill="1" applyBorder="1" applyAlignment="1">
      <alignment horizontal="left" vertical="center"/>
    </xf>
    <xf numFmtId="0" fontId="40" fillId="2" borderId="8"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 fillId="19" borderId="3" xfId="0" applyFont="1" applyFill="1" applyBorder="1" applyAlignment="1">
      <alignment horizontal="center" vertical="center"/>
    </xf>
    <xf numFmtId="0" fontId="2" fillId="0" borderId="3" xfId="0" applyFont="1" applyBorder="1" applyAlignment="1">
      <alignment horizontal="left" vertical="center"/>
    </xf>
    <xf numFmtId="0" fontId="2" fillId="0" borderId="5" xfId="0" applyFont="1" applyBorder="1" applyAlignment="1">
      <alignment horizontal="left" vertical="center"/>
    </xf>
    <xf numFmtId="0" fontId="0" fillId="0" borderId="3" xfId="0" applyBorder="1"/>
    <xf numFmtId="0" fontId="9" fillId="0" borderId="14" xfId="0" applyFont="1" applyFill="1" applyBorder="1" applyAlignment="1">
      <alignment horizontal="center" vertical="center"/>
    </xf>
    <xf numFmtId="0" fontId="13" fillId="2" borderId="8"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2" fillId="2" borderId="4" xfId="0" applyFont="1" applyFill="1" applyBorder="1" applyAlignment="1">
      <alignment horizontal="center" vertical="center"/>
    </xf>
    <xf numFmtId="0" fontId="2" fillId="2" borderId="7" xfId="0" applyFont="1" applyFill="1" applyBorder="1" applyAlignment="1">
      <alignment horizontal="center" vertical="center"/>
    </xf>
    <xf numFmtId="0" fontId="2" fillId="0" borderId="6" xfId="0" applyFont="1" applyBorder="1" applyAlignment="1">
      <alignment horizontal="center" vertical="center"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4" xfId="0" applyFont="1" applyBorder="1" applyAlignment="1">
      <alignment horizontal="center"/>
    </xf>
    <xf numFmtId="0" fontId="2" fillId="0" borderId="6" xfId="0" applyFont="1" applyBorder="1" applyAlignment="1">
      <alignment horizontal="center"/>
    </xf>
    <xf numFmtId="0" fontId="2" fillId="0" borderId="7" xfId="0" applyFont="1" applyBorder="1" applyAlignment="1">
      <alignment horizontal="center"/>
    </xf>
    <xf numFmtId="0" fontId="2" fillId="0" borderId="4" xfId="0" applyFont="1" applyBorder="1" applyAlignment="1">
      <alignment horizontal="left"/>
    </xf>
    <xf numFmtId="0" fontId="2" fillId="0" borderId="6" xfId="0" applyFont="1" applyBorder="1" applyAlignment="1">
      <alignment horizontal="left"/>
    </xf>
    <xf numFmtId="0" fontId="2" fillId="0" borderId="7" xfId="0" applyFont="1" applyBorder="1" applyAlignment="1">
      <alignment horizontal="left"/>
    </xf>
    <xf numFmtId="0" fontId="13" fillId="2" borderId="3" xfId="0" applyFont="1" applyFill="1" applyBorder="1" applyAlignment="1">
      <alignment horizontal="center"/>
    </xf>
    <xf numFmtId="0" fontId="13" fillId="5" borderId="4" xfId="0" applyFont="1" applyFill="1" applyBorder="1" applyAlignment="1">
      <alignment horizontal="center" vertical="center"/>
    </xf>
    <xf numFmtId="0" fontId="13" fillId="5" borderId="6" xfId="0" applyFont="1" applyFill="1" applyBorder="1" applyAlignment="1">
      <alignment horizontal="center" vertical="center"/>
    </xf>
    <xf numFmtId="0" fontId="13" fillId="5" borderId="7" xfId="0" applyFont="1" applyFill="1" applyBorder="1" applyAlignment="1">
      <alignment horizontal="center" vertical="center"/>
    </xf>
    <xf numFmtId="0" fontId="4" fillId="0" borderId="3" xfId="0" applyFont="1" applyBorder="1"/>
    <xf numFmtId="1" fontId="19" fillId="12" borderId="25" xfId="0" applyNumberFormat="1" applyFont="1" applyFill="1" applyBorder="1" applyAlignment="1">
      <alignment horizontal="center" vertical="center" wrapText="1"/>
    </xf>
    <xf numFmtId="14" fontId="19" fillId="12" borderId="25" xfId="0" applyNumberFormat="1" applyFont="1" applyFill="1" applyBorder="1" applyAlignment="1">
      <alignment horizontal="center" vertical="center" wrapText="1"/>
    </xf>
    <xf numFmtId="1" fontId="19" fillId="12" borderId="25" xfId="0" applyNumberFormat="1" applyFont="1" applyFill="1" applyBorder="1" applyAlignment="1">
      <alignment horizontal="center" vertical="center"/>
    </xf>
    <xf numFmtId="9" fontId="4" fillId="0" borderId="25" xfId="0" applyNumberFormat="1" applyFont="1" applyFill="1" applyBorder="1" applyAlignment="1">
      <alignment horizontal="center" vertical="center"/>
    </xf>
    <xf numFmtId="9" fontId="4" fillId="0" borderId="25" xfId="0" applyNumberFormat="1" applyFont="1" applyBorder="1" applyAlignment="1">
      <alignment horizontal="center" vertical="center"/>
    </xf>
    <xf numFmtId="0" fontId="4" fillId="0" borderId="26" xfId="0" applyNumberFormat="1" applyFont="1" applyFill="1" applyBorder="1" applyAlignment="1">
      <alignment horizontal="center" vertical="center"/>
    </xf>
    <xf numFmtId="0" fontId="4" fillId="0" borderId="25" xfId="0" applyNumberFormat="1" applyFont="1" applyFill="1" applyBorder="1" applyAlignment="1">
      <alignment horizontal="center" vertical="center"/>
    </xf>
    <xf numFmtId="0" fontId="4" fillId="0" borderId="68" xfId="0" applyNumberFormat="1" applyFont="1" applyFill="1" applyBorder="1" applyAlignment="1">
      <alignment horizontal="center" vertical="center"/>
    </xf>
    <xf numFmtId="3" fontId="4" fillId="0" borderId="73" xfId="0" applyNumberFormat="1" applyFont="1" applyFill="1" applyBorder="1" applyAlignment="1">
      <alignment horizontal="center"/>
    </xf>
    <xf numFmtId="3" fontId="4" fillId="0" borderId="74" xfId="0" applyNumberFormat="1" applyFont="1" applyFill="1" applyBorder="1" applyAlignment="1">
      <alignment horizontal="center"/>
    </xf>
    <xf numFmtId="0" fontId="13" fillId="4" borderId="3" xfId="0" applyNumberFormat="1" applyFont="1" applyFill="1" applyBorder="1" applyAlignment="1">
      <alignment horizontal="center" vertical="center"/>
    </xf>
    <xf numFmtId="0" fontId="4" fillId="4" borderId="3" xfId="0" applyNumberFormat="1" applyFont="1" applyFill="1" applyBorder="1" applyAlignment="1">
      <alignment horizontal="center" vertical="center" wrapText="1"/>
    </xf>
    <xf numFmtId="3" fontId="4" fillId="0" borderId="26" xfId="0" applyNumberFormat="1" applyFont="1" applyFill="1" applyBorder="1" applyAlignment="1">
      <alignment horizontal="center"/>
    </xf>
    <xf numFmtId="3" fontId="4" fillId="0" borderId="68" xfId="0" applyNumberFormat="1" applyFont="1" applyFill="1" applyBorder="1" applyAlignment="1">
      <alignment horizontal="center"/>
    </xf>
    <xf numFmtId="3" fontId="4" fillId="0" borderId="6" xfId="0" applyNumberFormat="1" applyFont="1" applyFill="1" applyBorder="1" applyAlignment="1">
      <alignment horizontal="center"/>
    </xf>
    <xf numFmtId="0" fontId="4" fillId="0" borderId="26" xfId="0" applyNumberFormat="1" applyFont="1" applyFill="1" applyBorder="1" applyAlignment="1">
      <alignment horizontal="left" vertical="center"/>
    </xf>
    <xf numFmtId="0" fontId="4" fillId="0" borderId="29" xfId="0" applyNumberFormat="1" applyFont="1" applyFill="1" applyBorder="1" applyAlignment="1">
      <alignment horizontal="left" vertical="center"/>
    </xf>
    <xf numFmtId="0" fontId="4" fillId="0" borderId="68" xfId="0" applyNumberFormat="1" applyFont="1" applyFill="1" applyBorder="1" applyAlignment="1">
      <alignment horizontal="left" vertical="center"/>
    </xf>
    <xf numFmtId="0" fontId="4" fillId="0" borderId="29" xfId="0" applyNumberFormat="1" applyFont="1" applyFill="1" applyBorder="1" applyAlignment="1">
      <alignment horizontal="center" vertical="center"/>
    </xf>
    <xf numFmtId="0" fontId="19" fillId="2" borderId="72" xfId="0" applyFont="1" applyFill="1" applyBorder="1" applyAlignment="1">
      <alignment horizontal="center" vertical="center" wrapText="1"/>
    </xf>
    <xf numFmtId="0" fontId="19" fillId="2" borderId="42" xfId="0" applyFont="1" applyFill="1" applyBorder="1" applyAlignment="1">
      <alignment horizontal="center" vertical="center" wrapText="1"/>
    </xf>
    <xf numFmtId="0" fontId="19" fillId="2" borderId="43" xfId="0" applyFont="1" applyFill="1" applyBorder="1" applyAlignment="1">
      <alignment horizontal="center" vertical="center" wrapText="1"/>
    </xf>
    <xf numFmtId="0" fontId="19" fillId="2" borderId="72" xfId="0" applyFont="1" applyFill="1" applyBorder="1" applyAlignment="1">
      <alignment horizontal="center" vertical="center"/>
    </xf>
    <xf numFmtId="0" fontId="19" fillId="2" borderId="43" xfId="0" applyFont="1" applyFill="1" applyBorder="1" applyAlignment="1">
      <alignment horizontal="center" vertical="center"/>
    </xf>
    <xf numFmtId="3" fontId="4" fillId="0" borderId="26" xfId="0" applyNumberFormat="1" applyFont="1" applyFill="1" applyBorder="1" applyAlignment="1">
      <alignment horizontal="center" vertical="center"/>
    </xf>
    <xf numFmtId="3" fontId="4" fillId="0" borderId="68" xfId="0" applyNumberFormat="1" applyFont="1" applyFill="1" applyBorder="1" applyAlignment="1">
      <alignment horizontal="center" vertical="center"/>
    </xf>
    <xf numFmtId="0" fontId="19" fillId="4" borderId="26" xfId="0" applyNumberFormat="1" applyFont="1" applyFill="1" applyBorder="1" applyAlignment="1">
      <alignment horizontal="center"/>
    </xf>
    <xf numFmtId="0" fontId="19" fillId="4" borderId="29" xfId="0" applyNumberFormat="1" applyFont="1" applyFill="1" applyBorder="1" applyAlignment="1">
      <alignment horizontal="center"/>
    </xf>
    <xf numFmtId="0" fontId="19" fillId="4" borderId="68" xfId="0" applyNumberFormat="1" applyFont="1" applyFill="1" applyBorder="1" applyAlignment="1">
      <alignment horizontal="center"/>
    </xf>
    <xf numFmtId="3" fontId="4" fillId="0" borderId="29" xfId="0" applyNumberFormat="1" applyFont="1" applyFill="1" applyBorder="1" applyAlignment="1">
      <alignment horizontal="center" vertical="center"/>
    </xf>
    <xf numFmtId="0" fontId="13" fillId="4" borderId="72" xfId="0" applyNumberFormat="1" applyFont="1" applyFill="1" applyBorder="1" applyAlignment="1">
      <alignment horizontal="center" vertical="center"/>
    </xf>
    <xf numFmtId="0" fontId="13" fillId="4" borderId="42" xfId="0" applyNumberFormat="1" applyFont="1" applyFill="1" applyBorder="1" applyAlignment="1">
      <alignment horizontal="center" vertical="center"/>
    </xf>
    <xf numFmtId="0" fontId="13" fillId="4" borderId="43" xfId="0" applyNumberFormat="1" applyFont="1" applyFill="1" applyBorder="1" applyAlignment="1">
      <alignment horizontal="center" vertical="center"/>
    </xf>
    <xf numFmtId="0" fontId="4" fillId="0" borderId="3" xfId="0" applyNumberFormat="1" applyFont="1" applyFill="1" applyBorder="1" applyAlignment="1">
      <alignment vertical="center"/>
    </xf>
    <xf numFmtId="3" fontId="4" fillId="0" borderId="3" xfId="0" applyNumberFormat="1" applyFont="1" applyFill="1" applyBorder="1" applyAlignment="1">
      <alignment horizontal="center" vertical="center"/>
    </xf>
    <xf numFmtId="0" fontId="4" fillId="0" borderId="29" xfId="0" applyNumberFormat="1" applyFont="1" applyFill="1" applyBorder="1" applyAlignment="1">
      <alignment horizontal="left"/>
    </xf>
    <xf numFmtId="0" fontId="4" fillId="0" borderId="71" xfId="0" applyNumberFormat="1" applyFont="1" applyFill="1" applyBorder="1" applyAlignment="1">
      <alignment horizontal="left"/>
    </xf>
    <xf numFmtId="0" fontId="4" fillId="0" borderId="30" xfId="0" applyNumberFormat="1" applyFont="1" applyFill="1" applyBorder="1" applyAlignment="1">
      <alignment vertical="center"/>
    </xf>
    <xf numFmtId="0" fontId="4" fillId="0" borderId="37" xfId="0" applyNumberFormat="1" applyFont="1" applyFill="1" applyBorder="1" applyAlignment="1">
      <alignment vertical="center"/>
    </xf>
    <xf numFmtId="3" fontId="4" fillId="0" borderId="5" xfId="0" applyNumberFormat="1" applyFont="1" applyFill="1" applyBorder="1" applyAlignment="1">
      <alignment horizontal="center" vertical="center"/>
    </xf>
    <xf numFmtId="3" fontId="4" fillId="0" borderId="69" xfId="0" applyNumberFormat="1" applyFont="1" applyFill="1" applyBorder="1" applyAlignment="1">
      <alignment horizontal="center" vertical="center"/>
    </xf>
    <xf numFmtId="3" fontId="4" fillId="0" borderId="70" xfId="0" applyNumberFormat="1" applyFont="1" applyFill="1" applyBorder="1" applyAlignment="1">
      <alignment horizontal="center" vertical="center"/>
    </xf>
    <xf numFmtId="0" fontId="9" fillId="0" borderId="38" xfId="0" applyFont="1" applyBorder="1" applyAlignment="1" applyProtection="1">
      <alignment horizontal="center" vertical="top"/>
      <protection hidden="1"/>
    </xf>
    <xf numFmtId="14" fontId="4" fillId="0" borderId="0" xfId="0" applyNumberFormat="1" applyFont="1" applyFill="1" applyBorder="1" applyAlignment="1">
      <alignment horizontal="center"/>
    </xf>
    <xf numFmtId="14" fontId="4" fillId="0" borderId="14" xfId="0" applyNumberFormat="1" applyFont="1" applyFill="1" applyBorder="1" applyAlignment="1">
      <alignment horizontal="center"/>
    </xf>
    <xf numFmtId="0" fontId="19" fillId="2" borderId="4" xfId="0" applyNumberFormat="1" applyFont="1" applyFill="1" applyBorder="1" applyAlignment="1">
      <alignment horizontal="left" vertical="center"/>
    </xf>
    <xf numFmtId="0" fontId="19" fillId="2" borderId="6" xfId="0" applyNumberFormat="1" applyFont="1" applyFill="1" applyBorder="1" applyAlignment="1">
      <alignment horizontal="left" vertical="center"/>
    </xf>
    <xf numFmtId="0" fontId="19" fillId="2" borderId="7" xfId="0" applyNumberFormat="1" applyFont="1" applyFill="1" applyBorder="1" applyAlignment="1">
      <alignment horizontal="left" vertical="center"/>
    </xf>
    <xf numFmtId="0" fontId="9" fillId="0" borderId="38" xfId="0" applyNumberFormat="1" applyFont="1" applyBorder="1" applyAlignment="1">
      <alignment horizontal="center" vertical="center"/>
    </xf>
    <xf numFmtId="14" fontId="4" fillId="0" borderId="14" xfId="0" applyNumberFormat="1" applyFont="1" applyFill="1" applyBorder="1" applyAlignment="1">
      <alignment horizontal="center" vertical="center"/>
    </xf>
    <xf numFmtId="0" fontId="4" fillId="0" borderId="4" xfId="0" applyNumberFormat="1" applyFont="1" applyFill="1" applyBorder="1" applyAlignment="1">
      <alignment vertical="center"/>
    </xf>
    <xf numFmtId="0" fontId="4" fillId="0" borderId="6" xfId="0" applyNumberFormat="1" applyFont="1" applyFill="1" applyBorder="1" applyAlignment="1">
      <alignment vertical="center"/>
    </xf>
    <xf numFmtId="0" fontId="4" fillId="2" borderId="6" xfId="0" applyNumberFormat="1" applyFont="1" applyFill="1" applyBorder="1" applyAlignment="1">
      <alignment horizontal="center" vertical="center" wrapText="1"/>
    </xf>
    <xf numFmtId="0" fontId="4" fillId="2" borderId="6" xfId="0" applyNumberFormat="1" applyFont="1" applyFill="1" applyBorder="1" applyAlignment="1">
      <alignment horizontal="center" vertical="center"/>
    </xf>
    <xf numFmtId="0" fontId="20" fillId="0" borderId="3" xfId="0" applyFont="1" applyBorder="1" applyAlignment="1">
      <alignment horizontal="left" vertical="center"/>
    </xf>
    <xf numFmtId="0" fontId="4" fillId="0" borderId="3" xfId="0" applyFont="1" applyBorder="1" applyAlignment="1">
      <alignment vertical="center"/>
    </xf>
    <xf numFmtId="0" fontId="19" fillId="5" borderId="10" xfId="0" applyFont="1" applyFill="1" applyBorder="1" applyAlignment="1">
      <alignment horizontal="center" vertical="center"/>
    </xf>
    <xf numFmtId="0" fontId="9" fillId="0" borderId="38" xfId="0" applyFont="1" applyBorder="1" applyAlignment="1" applyProtection="1">
      <alignment horizontal="center"/>
      <protection hidden="1"/>
    </xf>
    <xf numFmtId="0" fontId="19" fillId="2" borderId="5" xfId="0" applyNumberFormat="1" applyFont="1" applyFill="1" applyBorder="1" applyAlignment="1">
      <alignment horizontal="center" vertical="center"/>
    </xf>
    <xf numFmtId="0" fontId="19" fillId="2" borderId="12" xfId="0" applyNumberFormat="1" applyFont="1" applyFill="1" applyBorder="1" applyAlignment="1">
      <alignment horizontal="center" vertical="center"/>
    </xf>
    <xf numFmtId="0" fontId="2" fillId="0" borderId="10" xfId="0" applyFont="1" applyBorder="1" applyAlignment="1">
      <alignment horizontal="center" vertical="center" wrapText="1"/>
    </xf>
    <xf numFmtId="0" fontId="2" fillId="0" borderId="10" xfId="0" applyFont="1" applyFill="1" applyBorder="1" applyAlignment="1">
      <alignment horizontal="center" vertical="center" wrapText="1"/>
    </xf>
    <xf numFmtId="14" fontId="4" fillId="0" borderId="38" xfId="0" applyNumberFormat="1" applyFont="1" applyFill="1" applyBorder="1" applyAlignment="1">
      <alignment horizontal="center"/>
    </xf>
    <xf numFmtId="0" fontId="13" fillId="4" borderId="4"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12" xfId="0" applyFont="1" applyFill="1" applyBorder="1" applyAlignment="1">
      <alignment horizontal="center" vertical="center" wrapText="1"/>
    </xf>
    <xf numFmtId="14" fontId="4" fillId="0" borderId="38" xfId="0" applyNumberFormat="1" applyFont="1" applyFill="1" applyBorder="1" applyAlignment="1">
      <alignment horizontal="center" wrapText="1"/>
    </xf>
    <xf numFmtId="14" fontId="19" fillId="0" borderId="14" xfId="0" applyNumberFormat="1" applyFont="1" applyFill="1" applyBorder="1" applyAlignment="1">
      <alignment horizontal="center" wrapText="1"/>
    </xf>
    <xf numFmtId="0" fontId="13" fillId="4" borderId="5" xfId="0" applyFont="1" applyFill="1" applyBorder="1" applyAlignment="1">
      <alignment horizontal="center" vertical="center"/>
    </xf>
    <xf numFmtId="0" fontId="19" fillId="0" borderId="0" xfId="0" applyFont="1" applyBorder="1" applyAlignment="1">
      <alignment horizontal="left" vertical="center" wrapText="1"/>
    </xf>
    <xf numFmtId="0" fontId="2" fillId="13" borderId="3" xfId="0" applyFont="1" applyFill="1" applyBorder="1" applyAlignment="1">
      <alignment horizontal="center" vertical="center"/>
    </xf>
    <xf numFmtId="0" fontId="20" fillId="0" borderId="0" xfId="0" applyFont="1" applyAlignment="1">
      <alignment horizontal="left" vertical="top" wrapText="1"/>
    </xf>
    <xf numFmtId="1" fontId="19" fillId="12" borderId="26" xfId="0" applyNumberFormat="1" applyFont="1" applyFill="1" applyBorder="1" applyAlignment="1">
      <alignment horizontal="center" vertical="center" wrapText="1"/>
    </xf>
    <xf numFmtId="14" fontId="19" fillId="12" borderId="3" xfId="0" applyNumberFormat="1" applyFont="1" applyFill="1" applyBorder="1" applyAlignment="1">
      <alignment horizontal="center" vertical="center" wrapText="1"/>
    </xf>
    <xf numFmtId="0" fontId="13" fillId="0" borderId="3" xfId="0" applyNumberFormat="1" applyFont="1" applyFill="1" applyBorder="1" applyAlignment="1">
      <alignment horizontal="center" vertical="center"/>
    </xf>
    <xf numFmtId="0" fontId="4" fillId="9" borderId="3" xfId="0" applyFont="1" applyFill="1" applyBorder="1" applyAlignment="1">
      <alignment horizontal="center" vertical="center" wrapText="1"/>
    </xf>
    <xf numFmtId="0" fontId="4" fillId="0" borderId="60" xfId="0" applyFont="1" applyFill="1" applyBorder="1" applyAlignment="1">
      <alignment horizontal="left" vertical="center" wrapText="1"/>
    </xf>
    <xf numFmtId="0" fontId="19" fillId="4" borderId="8" xfId="0" applyFont="1" applyFill="1" applyBorder="1" applyAlignment="1">
      <alignment horizontal="center" vertical="center" wrapText="1"/>
    </xf>
    <xf numFmtId="0" fontId="19" fillId="4" borderId="22" xfId="0" applyFont="1" applyFill="1" applyBorder="1" applyAlignment="1">
      <alignment horizontal="center" vertical="center" wrapText="1"/>
    </xf>
    <xf numFmtId="0" fontId="19" fillId="4" borderId="13" xfId="0" applyFont="1" applyFill="1" applyBorder="1" applyAlignment="1">
      <alignment horizontal="center" vertical="center" wrapText="1"/>
    </xf>
    <xf numFmtId="0" fontId="19" fillId="4" borderId="15" xfId="0" applyFont="1" applyFill="1" applyBorder="1" applyAlignment="1">
      <alignment horizontal="center" vertical="center" wrapText="1"/>
    </xf>
    <xf numFmtId="1" fontId="4" fillId="2" borderId="3" xfId="0" applyNumberFormat="1" applyFont="1" applyFill="1" applyBorder="1" applyAlignment="1">
      <alignment horizontal="center" vertical="center"/>
    </xf>
    <xf numFmtId="0" fontId="4" fillId="4" borderId="3" xfId="0" applyFont="1" applyFill="1" applyBorder="1" applyAlignment="1">
      <alignment horizontal="left" vertical="center" wrapText="1"/>
    </xf>
    <xf numFmtId="0" fontId="4" fillId="4" borderId="3" xfId="0" applyFont="1" applyFill="1" applyBorder="1" applyAlignment="1">
      <alignment horizontal="left" wrapText="1"/>
    </xf>
    <xf numFmtId="1" fontId="19" fillId="4" borderId="4" xfId="0" applyNumberFormat="1" applyFont="1" applyFill="1" applyBorder="1" applyAlignment="1">
      <alignment horizontal="center"/>
    </xf>
    <xf numFmtId="1" fontId="19" fillId="4" borderId="6" xfId="0" applyNumberFormat="1" applyFont="1" applyFill="1" applyBorder="1" applyAlignment="1">
      <alignment horizontal="center"/>
    </xf>
    <xf numFmtId="1" fontId="19" fillId="4" borderId="7" xfId="0" applyNumberFormat="1" applyFont="1" applyFill="1" applyBorder="1" applyAlignment="1">
      <alignment horizontal="center"/>
    </xf>
    <xf numFmtId="1" fontId="4" fillId="0" borderId="9" xfId="0" applyNumberFormat="1" applyFont="1" applyFill="1" applyBorder="1" applyAlignment="1">
      <alignment horizontal="left" vertical="center"/>
    </xf>
    <xf numFmtId="1" fontId="4" fillId="0" borderId="0" xfId="0" applyNumberFormat="1" applyFont="1" applyFill="1" applyBorder="1" applyAlignment="1">
      <alignment horizontal="left" vertical="center"/>
    </xf>
    <xf numFmtId="1" fontId="4" fillId="0" borderId="32" xfId="0" applyNumberFormat="1" applyFont="1" applyFill="1" applyBorder="1" applyAlignment="1">
      <alignment horizontal="left" vertical="center"/>
    </xf>
    <xf numFmtId="0" fontId="19" fillId="7" borderId="3" xfId="0" applyNumberFormat="1" applyFont="1" applyFill="1" applyBorder="1" applyAlignment="1">
      <alignment horizontal="left" vertical="center" wrapText="1"/>
    </xf>
    <xf numFmtId="2" fontId="19" fillId="11" borderId="7" xfId="0" applyNumberFormat="1" applyFont="1" applyFill="1" applyBorder="1" applyAlignment="1">
      <alignment horizontal="center" vertical="center"/>
    </xf>
    <xf numFmtId="0" fontId="2" fillId="0" borderId="4" xfId="0" applyNumberFormat="1" applyFont="1" applyFill="1" applyBorder="1" applyAlignment="1">
      <alignment horizontal="center" vertical="center" wrapText="1"/>
    </xf>
    <xf numFmtId="0" fontId="2" fillId="0" borderId="4" xfId="0" applyNumberFormat="1" applyFont="1" applyFill="1" applyBorder="1" applyAlignment="1">
      <alignment horizontal="left" vertical="center"/>
    </xf>
    <xf numFmtId="0" fontId="13" fillId="2" borderId="4" xfId="0" applyNumberFormat="1" applyFont="1" applyFill="1" applyBorder="1" applyAlignment="1">
      <alignment horizontal="center" vertical="center"/>
    </xf>
    <xf numFmtId="0" fontId="13" fillId="2" borderId="7" xfId="0" applyNumberFormat="1" applyFont="1" applyFill="1" applyBorder="1" applyAlignment="1">
      <alignment horizontal="center" vertical="center"/>
    </xf>
    <xf numFmtId="0" fontId="2" fillId="0" borderId="6" xfId="0" applyNumberFormat="1" applyFont="1" applyFill="1" applyBorder="1" applyAlignment="1">
      <alignment horizontal="left" vertical="center"/>
    </xf>
    <xf numFmtId="0" fontId="2" fillId="0" borderId="7" xfId="0" applyNumberFormat="1" applyFont="1" applyFill="1" applyBorder="1" applyAlignment="1">
      <alignment horizontal="left" vertical="center"/>
    </xf>
    <xf numFmtId="0" fontId="2" fillId="0" borderId="8" xfId="0" applyNumberFormat="1" applyFont="1" applyFill="1" applyBorder="1" applyAlignment="1">
      <alignment horizontal="center" vertical="center" wrapText="1"/>
    </xf>
    <xf numFmtId="0" fontId="2" fillId="0" borderId="22" xfId="0" applyNumberFormat="1" applyFont="1" applyFill="1" applyBorder="1" applyAlignment="1">
      <alignment horizontal="center" vertical="center" wrapText="1"/>
    </xf>
    <xf numFmtId="0" fontId="2" fillId="0" borderId="11" xfId="0" applyNumberFormat="1" applyFont="1" applyFill="1" applyBorder="1" applyAlignment="1">
      <alignment horizontal="center" vertical="center" wrapText="1"/>
    </xf>
    <xf numFmtId="0" fontId="2" fillId="0" borderId="32" xfId="0" applyNumberFormat="1" applyFont="1" applyFill="1" applyBorder="1" applyAlignment="1">
      <alignment horizontal="center" vertical="center" wrapText="1"/>
    </xf>
    <xf numFmtId="0" fontId="2" fillId="0" borderId="13" xfId="0" applyNumberFormat="1" applyFont="1" applyFill="1" applyBorder="1" applyAlignment="1">
      <alignment horizontal="center" vertical="center" wrapText="1"/>
    </xf>
    <xf numFmtId="0" fontId="2" fillId="0" borderId="15" xfId="0" applyNumberFormat="1" applyFont="1" applyFill="1" applyBorder="1" applyAlignment="1">
      <alignment horizontal="center" vertical="center" wrapText="1"/>
    </xf>
    <xf numFmtId="0" fontId="2" fillId="0" borderId="9" xfId="0" applyNumberFormat="1" applyFont="1" applyFill="1" applyBorder="1" applyAlignment="1">
      <alignment horizontal="center" vertical="center" wrapText="1"/>
    </xf>
    <xf numFmtId="0" fontId="2" fillId="0" borderId="14"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19" fillId="7" borderId="4" xfId="0" applyNumberFormat="1" applyFont="1" applyFill="1" applyBorder="1" applyAlignment="1">
      <alignment horizontal="center" vertical="center" wrapText="1"/>
    </xf>
    <xf numFmtId="0" fontId="19" fillId="7" borderId="6" xfId="0" applyNumberFormat="1" applyFont="1" applyFill="1" applyBorder="1" applyAlignment="1">
      <alignment horizontal="center" vertical="center" wrapText="1"/>
    </xf>
    <xf numFmtId="0" fontId="19" fillId="7" borderId="7" xfId="0" applyNumberFormat="1" applyFont="1" applyFill="1" applyBorder="1" applyAlignment="1">
      <alignment horizontal="center" vertical="center" wrapText="1"/>
    </xf>
    <xf numFmtId="0" fontId="2" fillId="0" borderId="0" xfId="0" applyNumberFormat="1" applyFont="1" applyFill="1" applyBorder="1" applyAlignment="1">
      <alignment horizontal="center" vertical="center" wrapText="1"/>
    </xf>
    <xf numFmtId="0" fontId="4" fillId="3" borderId="8" xfId="0" applyNumberFormat="1" applyFont="1" applyFill="1" applyBorder="1" applyAlignment="1">
      <alignment horizontal="center" vertical="center"/>
    </xf>
    <xf numFmtId="0" fontId="4" fillId="3" borderId="22" xfId="0" applyNumberFormat="1" applyFont="1" applyFill="1" applyBorder="1" applyAlignment="1">
      <alignment horizontal="center" vertical="center"/>
    </xf>
    <xf numFmtId="0" fontId="4" fillId="3" borderId="13" xfId="0" applyNumberFormat="1" applyFont="1" applyFill="1" applyBorder="1" applyAlignment="1">
      <alignment horizontal="center" vertical="center"/>
    </xf>
    <xf numFmtId="0" fontId="4" fillId="3" borderId="15" xfId="0" applyNumberFormat="1" applyFont="1" applyFill="1" applyBorder="1" applyAlignment="1">
      <alignment horizontal="center" vertical="center"/>
    </xf>
    <xf numFmtId="14" fontId="19" fillId="0" borderId="0" xfId="0" applyNumberFormat="1" applyFont="1" applyBorder="1" applyAlignment="1">
      <alignment horizontal="center"/>
    </xf>
    <xf numFmtId="0" fontId="19" fillId="3" borderId="10"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9" fillId="0" borderId="0" xfId="0" applyFont="1" applyFill="1" applyBorder="1" applyAlignment="1">
      <alignment horizontal="center" vertical="center"/>
    </xf>
    <xf numFmtId="0" fontId="19" fillId="8" borderId="4" xfId="0" applyNumberFormat="1" applyFont="1" applyFill="1" applyBorder="1" applyAlignment="1">
      <alignment horizontal="center" vertical="center" wrapText="1"/>
    </xf>
    <xf numFmtId="0" fontId="19" fillId="8" borderId="7" xfId="0" applyNumberFormat="1" applyFont="1" applyFill="1" applyBorder="1" applyAlignment="1">
      <alignment horizontal="center" vertical="center" wrapText="1"/>
    </xf>
    <xf numFmtId="1" fontId="4" fillId="3" borderId="8" xfId="0" applyNumberFormat="1" applyFont="1" applyFill="1" applyBorder="1" applyAlignment="1">
      <alignment horizontal="left" vertical="center" wrapText="1"/>
    </xf>
    <xf numFmtId="1" fontId="4" fillId="3" borderId="9" xfId="0" applyNumberFormat="1" applyFont="1" applyFill="1" applyBorder="1" applyAlignment="1">
      <alignment horizontal="left" vertical="center" wrapText="1"/>
    </xf>
    <xf numFmtId="1" fontId="4" fillId="3" borderId="22" xfId="0" applyNumberFormat="1" applyFont="1" applyFill="1" applyBorder="1" applyAlignment="1">
      <alignment horizontal="left" vertical="center" wrapText="1"/>
    </xf>
    <xf numFmtId="1" fontId="4" fillId="3" borderId="13" xfId="0" applyNumberFormat="1" applyFont="1" applyFill="1" applyBorder="1" applyAlignment="1">
      <alignment horizontal="left" vertical="center" wrapText="1"/>
    </xf>
    <xf numFmtId="1" fontId="4" fillId="3" borderId="14" xfId="0" applyNumberFormat="1" applyFont="1" applyFill="1" applyBorder="1" applyAlignment="1">
      <alignment horizontal="left" vertical="center" wrapText="1"/>
    </xf>
    <xf numFmtId="1" fontId="4" fillId="3" borderId="15"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xf>
    <xf numFmtId="0" fontId="19" fillId="7" borderId="8" xfId="0" applyNumberFormat="1" applyFont="1" applyFill="1" applyBorder="1" applyAlignment="1">
      <alignment horizontal="left" vertical="center" wrapText="1"/>
    </xf>
    <xf numFmtId="0" fontId="19" fillId="7" borderId="9" xfId="0" applyNumberFormat="1" applyFont="1" applyFill="1" applyBorder="1" applyAlignment="1">
      <alignment horizontal="left" vertical="center" wrapText="1"/>
    </xf>
    <xf numFmtId="0" fontId="19" fillId="7" borderId="22" xfId="0" applyNumberFormat="1" applyFont="1" applyFill="1" applyBorder="1" applyAlignment="1">
      <alignment horizontal="left" vertical="center" wrapText="1"/>
    </xf>
    <xf numFmtId="0" fontId="19" fillId="7" borderId="13" xfId="0" applyNumberFormat="1" applyFont="1" applyFill="1" applyBorder="1" applyAlignment="1">
      <alignment horizontal="left" vertical="center" wrapText="1"/>
    </xf>
    <xf numFmtId="0" fontId="19" fillId="7" borderId="14" xfId="0" applyNumberFormat="1" applyFont="1" applyFill="1" applyBorder="1" applyAlignment="1">
      <alignment horizontal="left" vertical="center" wrapText="1"/>
    </xf>
    <xf numFmtId="0" fontId="19" fillId="7" borderId="15" xfId="0" applyNumberFormat="1" applyFont="1" applyFill="1" applyBorder="1" applyAlignment="1">
      <alignment horizontal="left" vertical="center" wrapText="1"/>
    </xf>
    <xf numFmtId="0" fontId="2" fillId="0" borderId="3" xfId="0" applyNumberFormat="1" applyFont="1" applyFill="1" applyBorder="1" applyAlignment="1">
      <alignment horizontal="center" vertical="center" wrapText="1"/>
    </xf>
    <xf numFmtId="0" fontId="4" fillId="0" borderId="3" xfId="0" applyNumberFormat="1" applyFont="1" applyBorder="1" applyAlignment="1">
      <alignment horizontal="center" vertical="center"/>
    </xf>
    <xf numFmtId="9" fontId="4" fillId="0" borderId="12" xfId="0" applyNumberFormat="1" applyFont="1" applyBorder="1" applyAlignment="1">
      <alignment horizontal="center" vertical="center"/>
    </xf>
    <xf numFmtId="0" fontId="19" fillId="7" borderId="3" xfId="0" applyNumberFormat="1" applyFont="1" applyFill="1" applyBorder="1" applyAlignment="1">
      <alignment horizontal="center" vertical="center" wrapText="1"/>
    </xf>
    <xf numFmtId="0" fontId="29" fillId="0" borderId="8" xfId="0"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13" xfId="0" applyFont="1" applyFill="1" applyBorder="1" applyAlignment="1">
      <alignment horizontal="center" vertical="center" wrapText="1"/>
    </xf>
    <xf numFmtId="0" fontId="29" fillId="0" borderId="15" xfId="0" applyFont="1" applyFill="1" applyBorder="1" applyAlignment="1">
      <alignment horizontal="center" vertical="center" wrapText="1"/>
    </xf>
    <xf numFmtId="1" fontId="24" fillId="0" borderId="4" xfId="0" applyNumberFormat="1" applyFont="1" applyFill="1" applyBorder="1" applyAlignment="1">
      <alignment horizontal="center" vertical="center" wrapText="1"/>
    </xf>
    <xf numFmtId="1" fontId="24" fillId="0" borderId="7" xfId="0" applyNumberFormat="1" applyFont="1" applyFill="1" applyBorder="1" applyAlignment="1">
      <alignment horizontal="center" vertical="center" wrapText="1"/>
    </xf>
    <xf numFmtId="0" fontId="19" fillId="0" borderId="0" xfId="0" applyFont="1" applyFill="1" applyBorder="1" applyAlignment="1">
      <alignment horizontal="center" vertical="center"/>
    </xf>
    <xf numFmtId="10" fontId="4" fillId="0" borderId="0" xfId="0" applyNumberFormat="1" applyFont="1" applyFill="1" applyBorder="1" applyAlignment="1">
      <alignment horizontal="center"/>
    </xf>
    <xf numFmtId="10" fontId="4" fillId="0" borderId="3" xfId="0" applyNumberFormat="1" applyFont="1" applyBorder="1" applyAlignment="1">
      <alignment horizontal="center"/>
    </xf>
    <xf numFmtId="0" fontId="24" fillId="6" borderId="8" xfId="0" applyFont="1" applyFill="1" applyBorder="1" applyAlignment="1">
      <alignment horizontal="left" vertical="center" wrapText="1"/>
    </xf>
    <xf numFmtId="0" fontId="24" fillId="6" borderId="11" xfId="0" applyFont="1" applyFill="1" applyBorder="1" applyAlignment="1">
      <alignment horizontal="left" vertical="center" wrapText="1"/>
    </xf>
    <xf numFmtId="0" fontId="24" fillId="6" borderId="13" xfId="0" applyFont="1" applyFill="1" applyBorder="1" applyAlignment="1">
      <alignment horizontal="left" vertical="center" wrapText="1"/>
    </xf>
    <xf numFmtId="0" fontId="43" fillId="14" borderId="3" xfId="0" applyFont="1" applyFill="1" applyBorder="1" applyAlignment="1">
      <alignment horizontal="center" vertical="center"/>
    </xf>
    <xf numFmtId="0" fontId="43" fillId="2" borderId="11" xfId="0" applyFont="1" applyFill="1" applyBorder="1" applyAlignment="1">
      <alignment horizontal="center" vertical="center"/>
    </xf>
    <xf numFmtId="0" fontId="43" fillId="2" borderId="13" xfId="0" applyFont="1" applyFill="1" applyBorder="1" applyAlignment="1">
      <alignment horizontal="center" vertical="center"/>
    </xf>
    <xf numFmtId="0" fontId="19" fillId="4" borderId="10"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9" fillId="0" borderId="12"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4" fillId="3" borderId="8" xfId="0" applyNumberFormat="1" applyFont="1" applyFill="1" applyBorder="1" applyAlignment="1">
      <alignment horizontal="left" vertical="center" wrapText="1"/>
    </xf>
    <xf numFmtId="0" fontId="4" fillId="3" borderId="13" xfId="0" applyNumberFormat="1" applyFont="1" applyFill="1" applyBorder="1" applyAlignment="1">
      <alignment horizontal="left" vertical="center" wrapText="1"/>
    </xf>
    <xf numFmtId="1" fontId="24" fillId="4" borderId="5" xfId="0" applyNumberFormat="1" applyFont="1" applyFill="1" applyBorder="1" applyAlignment="1">
      <alignment horizontal="center" vertical="center" wrapText="1"/>
    </xf>
    <xf numFmtId="1" fontId="24" fillId="4" borderId="12" xfId="0" applyNumberFormat="1" applyFont="1" applyFill="1" applyBorder="1" applyAlignment="1">
      <alignment horizontal="center" vertical="center" wrapText="1"/>
    </xf>
    <xf numFmtId="14" fontId="19" fillId="0" borderId="14" xfId="0" applyNumberFormat="1" applyFont="1" applyFill="1" applyBorder="1" applyAlignment="1">
      <alignment horizontal="center" vertical="center"/>
    </xf>
    <xf numFmtId="0" fontId="19" fillId="5" borderId="4" xfId="0" applyFont="1" applyFill="1" applyBorder="1" applyAlignment="1">
      <alignment horizontal="left" vertical="center" wrapText="1"/>
    </xf>
    <xf numFmtId="0" fontId="19" fillId="5" borderId="7" xfId="0" applyFont="1" applyFill="1" applyBorder="1" applyAlignment="1">
      <alignment horizontal="left" vertical="center" wrapText="1"/>
    </xf>
    <xf numFmtId="0" fontId="19" fillId="5" borderId="3" xfId="0" applyFont="1" applyFill="1" applyBorder="1" applyAlignment="1">
      <alignment horizontal="left" vertical="center" wrapText="1"/>
    </xf>
    <xf numFmtId="0" fontId="20" fillId="0" borderId="3" xfId="0" applyFont="1" applyFill="1" applyBorder="1" applyAlignment="1">
      <alignment horizontal="left" vertical="center"/>
    </xf>
    <xf numFmtId="0" fontId="20" fillId="0" borderId="8" xfId="0" applyFont="1" applyFill="1" applyBorder="1" applyAlignment="1">
      <alignment horizontal="left" vertical="center" wrapText="1"/>
    </xf>
    <xf numFmtId="0" fontId="20" fillId="0" borderId="9"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13" xfId="0" applyFont="1" applyFill="1" applyBorder="1" applyAlignment="1">
      <alignment horizontal="left" vertical="center" wrapText="1"/>
    </xf>
    <xf numFmtId="0" fontId="20" fillId="0" borderId="14" xfId="0" applyFont="1" applyFill="1" applyBorder="1" applyAlignment="1">
      <alignment horizontal="left" vertical="center" wrapText="1"/>
    </xf>
    <xf numFmtId="0" fontId="20" fillId="0" borderId="15" xfId="0" applyFont="1" applyFill="1" applyBorder="1" applyAlignment="1">
      <alignment horizontal="left" vertical="center" wrapText="1"/>
    </xf>
    <xf numFmtId="2" fontId="2" fillId="0" borderId="3" xfId="0" applyNumberFormat="1" applyFont="1" applyFill="1" applyBorder="1" applyAlignment="1">
      <alignment horizontal="left" vertical="center" wrapText="1"/>
    </xf>
    <xf numFmtId="2" fontId="61" fillId="0" borderId="3" xfId="0" applyNumberFormat="1" applyFont="1" applyBorder="1" applyAlignment="1">
      <alignment horizontal="center" vertical="center"/>
    </xf>
    <xf numFmtId="2" fontId="61" fillId="0" borderId="8" xfId="0" applyNumberFormat="1" applyFont="1" applyFill="1" applyBorder="1" applyAlignment="1">
      <alignment horizontal="center" vertical="center"/>
    </xf>
    <xf numFmtId="2" fontId="61" fillId="0" borderId="22" xfId="0" applyNumberFormat="1" applyFont="1" applyFill="1" applyBorder="1" applyAlignment="1">
      <alignment horizontal="center" vertical="center"/>
    </xf>
    <xf numFmtId="2" fontId="61" fillId="0" borderId="13" xfId="0" applyNumberFormat="1" applyFont="1" applyFill="1" applyBorder="1" applyAlignment="1">
      <alignment horizontal="center" vertical="center"/>
    </xf>
    <xf numFmtId="2" fontId="61" fillId="0" borderId="15" xfId="0" applyNumberFormat="1" applyFont="1" applyFill="1" applyBorder="1" applyAlignment="1">
      <alignment horizontal="center" vertical="center"/>
    </xf>
    <xf numFmtId="2" fontId="61" fillId="0" borderId="8" xfId="0" applyNumberFormat="1" applyFont="1" applyBorder="1" applyAlignment="1">
      <alignment horizontal="center" vertical="center"/>
    </xf>
    <xf numFmtId="2" fontId="61" fillId="0" borderId="22" xfId="0" applyNumberFormat="1" applyFont="1" applyBorder="1" applyAlignment="1">
      <alignment horizontal="center" vertical="center"/>
    </xf>
    <xf numFmtId="2" fontId="9" fillId="0" borderId="38" xfId="0" applyNumberFormat="1" applyFont="1" applyFill="1" applyBorder="1" applyAlignment="1">
      <alignment horizontal="center" vertical="center"/>
    </xf>
    <xf numFmtId="0" fontId="60" fillId="2" borderId="12" xfId="0" applyFont="1" applyFill="1" applyBorder="1" applyAlignment="1">
      <alignment horizontal="center"/>
    </xf>
    <xf numFmtId="0" fontId="60" fillId="2" borderId="12" xfId="0" applyFont="1" applyFill="1" applyBorder="1" applyAlignment="1">
      <alignment horizontal="center" vertical="center"/>
    </xf>
    <xf numFmtId="0" fontId="19" fillId="2" borderId="12" xfId="0" applyNumberFormat="1" applyFont="1" applyFill="1" applyBorder="1" applyAlignment="1" applyProtection="1">
      <alignment horizontal="center" vertical="center" wrapText="1"/>
      <protection locked="0"/>
    </xf>
    <xf numFmtId="2" fontId="2" fillId="0" borderId="3" xfId="0" applyNumberFormat="1" applyFont="1" applyFill="1" applyBorder="1" applyAlignment="1">
      <alignment horizontal="center" vertical="center" wrapText="1"/>
    </xf>
    <xf numFmtId="2" fontId="4" fillId="17" borderId="3" xfId="0" applyNumberFormat="1" applyFont="1" applyFill="1" applyBorder="1" applyAlignment="1">
      <alignment horizontal="center" vertical="center"/>
    </xf>
    <xf numFmtId="0" fontId="40" fillId="4" borderId="3" xfId="0" applyFont="1" applyFill="1" applyBorder="1" applyAlignment="1">
      <alignment horizontal="center" vertical="center" wrapText="1"/>
    </xf>
    <xf numFmtId="2" fontId="2" fillId="2" borderId="3" xfId="0" applyNumberFormat="1" applyFont="1" applyFill="1" applyBorder="1" applyAlignment="1">
      <alignment horizontal="center" vertical="center" wrapText="1"/>
    </xf>
    <xf numFmtId="14" fontId="19" fillId="0" borderId="0" xfId="0" applyNumberFormat="1" applyFont="1" applyFill="1" applyBorder="1" applyAlignment="1">
      <alignment horizontal="center"/>
    </xf>
    <xf numFmtId="14" fontId="19" fillId="0" borderId="34" xfId="0" applyNumberFormat="1" applyFont="1" applyBorder="1" applyAlignment="1">
      <alignment horizontal="center"/>
    </xf>
    <xf numFmtId="0" fontId="20" fillId="4" borderId="3" xfId="0" applyFont="1" applyFill="1" applyBorder="1" applyAlignment="1">
      <alignment horizontal="center" vertical="center" wrapText="1"/>
    </xf>
    <xf numFmtId="0" fontId="33" fillId="0" borderId="3" xfId="0" applyFont="1" applyBorder="1" applyAlignment="1">
      <alignment horizontal="left" vertical="center" wrapText="1"/>
    </xf>
    <xf numFmtId="2" fontId="2" fillId="2" borderId="3" xfId="0" applyNumberFormat="1" applyFont="1" applyFill="1" applyBorder="1" applyAlignment="1">
      <alignment horizontal="center" vertical="center"/>
    </xf>
    <xf numFmtId="174" fontId="2" fillId="2" borderId="3" xfId="0" applyNumberFormat="1" applyFont="1" applyFill="1" applyBorder="1" applyAlignment="1">
      <alignment horizontal="center" vertical="center"/>
    </xf>
    <xf numFmtId="176" fontId="2" fillId="2" borderId="3" xfId="0" applyNumberFormat="1" applyFont="1" applyFill="1" applyBorder="1" applyAlignment="1">
      <alignment horizontal="center" vertical="center"/>
    </xf>
    <xf numFmtId="1" fontId="2" fillId="2" borderId="3" xfId="0" applyNumberFormat="1" applyFont="1" applyFill="1" applyBorder="1" applyAlignment="1">
      <alignment horizontal="center" vertical="center"/>
    </xf>
    <xf numFmtId="0" fontId="0" fillId="2" borderId="3" xfId="0" applyFill="1" applyBorder="1"/>
    <xf numFmtId="0" fontId="20" fillId="0" borderId="0" xfId="0" applyFont="1" applyBorder="1" applyAlignment="1">
      <alignment horizontal="center"/>
    </xf>
    <xf numFmtId="0" fontId="19" fillId="4" borderId="3" xfId="0" applyFont="1" applyFill="1" applyBorder="1" applyAlignment="1" applyProtection="1">
      <alignment horizontal="center" vertical="center" wrapText="1"/>
      <protection locked="0"/>
    </xf>
    <xf numFmtId="1" fontId="4" fillId="5" borderId="3" xfId="0" applyNumberFormat="1" applyFont="1" applyFill="1" applyBorder="1" applyAlignment="1">
      <alignment horizontal="center" vertical="center" wrapText="1"/>
    </xf>
    <xf numFmtId="14" fontId="4" fillId="5" borderId="4" xfId="0" applyNumberFormat="1" applyFont="1" applyFill="1" applyBorder="1" applyAlignment="1">
      <alignment horizontal="center" vertical="center" wrapText="1"/>
    </xf>
    <xf numFmtId="14" fontId="4" fillId="5" borderId="6" xfId="0" applyNumberFormat="1" applyFont="1" applyFill="1" applyBorder="1" applyAlignment="1">
      <alignment horizontal="center" vertical="center" wrapText="1"/>
    </xf>
    <xf numFmtId="14" fontId="4" fillId="5" borderId="7" xfId="0" applyNumberFormat="1" applyFont="1" applyFill="1" applyBorder="1" applyAlignment="1">
      <alignment horizontal="center" vertical="center" wrapText="1"/>
    </xf>
    <xf numFmtId="9" fontId="4" fillId="0" borderId="4" xfId="0" applyNumberFormat="1" applyFont="1" applyFill="1" applyBorder="1" applyAlignment="1">
      <alignment horizontal="center" vertical="center"/>
    </xf>
    <xf numFmtId="9" fontId="4" fillId="0" borderId="6" xfId="0" applyNumberFormat="1" applyFont="1" applyFill="1" applyBorder="1" applyAlignment="1">
      <alignment horizontal="center" vertical="center"/>
    </xf>
    <xf numFmtId="9" fontId="4" fillId="0" borderId="7" xfId="0" applyNumberFormat="1" applyFont="1" applyFill="1" applyBorder="1" applyAlignment="1">
      <alignment horizontal="center" vertical="center"/>
    </xf>
    <xf numFmtId="0" fontId="19" fillId="4" borderId="8" xfId="0" applyFont="1" applyFill="1" applyBorder="1" applyAlignment="1" applyProtection="1">
      <alignment horizontal="center" vertical="center" wrapText="1"/>
      <protection locked="0"/>
    </xf>
    <xf numFmtId="0" fontId="19" fillId="4" borderId="9" xfId="0" applyFont="1" applyFill="1" applyBorder="1" applyAlignment="1" applyProtection="1">
      <alignment horizontal="center" vertical="center" wrapText="1"/>
      <protection locked="0"/>
    </xf>
    <xf numFmtId="0" fontId="19" fillId="4" borderId="22" xfId="0" applyFont="1" applyFill="1" applyBorder="1" applyAlignment="1" applyProtection="1">
      <alignment horizontal="center" vertical="center" wrapText="1"/>
      <protection locked="0"/>
    </xf>
    <xf numFmtId="0" fontId="19" fillId="4" borderId="13" xfId="0" applyFont="1" applyFill="1" applyBorder="1" applyAlignment="1" applyProtection="1">
      <alignment horizontal="center" vertical="center" wrapText="1"/>
      <protection locked="0"/>
    </xf>
    <xf numFmtId="0" fontId="19" fillId="4" borderId="14" xfId="0" applyFont="1" applyFill="1" applyBorder="1" applyAlignment="1" applyProtection="1">
      <alignment horizontal="center" vertical="center" wrapText="1"/>
      <protection locked="0"/>
    </xf>
    <xf numFmtId="0" fontId="19" fillId="4" borderId="15" xfId="0" applyFont="1" applyFill="1" applyBorder="1" applyAlignment="1" applyProtection="1">
      <alignment horizontal="center" vertical="center" wrapText="1"/>
      <protection locked="0"/>
    </xf>
    <xf numFmtId="0" fontId="19" fillId="4" borderId="4" xfId="0" applyFont="1" applyFill="1" applyBorder="1" applyAlignment="1" applyProtection="1">
      <alignment horizontal="center" vertical="center" wrapText="1"/>
      <protection locked="0"/>
    </xf>
    <xf numFmtId="0" fontId="19" fillId="4" borderId="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2" borderId="4" xfId="0" applyFont="1" applyFill="1" applyBorder="1" applyAlignment="1" applyProtection="1">
      <alignment horizontal="center" vertical="center"/>
    </xf>
    <xf numFmtId="0" fontId="19" fillId="2" borderId="7" xfId="0" applyFont="1"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7" xfId="0" applyFont="1" applyFill="1" applyBorder="1" applyAlignment="1" applyProtection="1">
      <alignment horizontal="left" vertical="center" wrapText="1"/>
    </xf>
    <xf numFmtId="0" fontId="4" fillId="0" borderId="4"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19" fillId="4" borderId="9" xfId="0" applyFont="1" applyFill="1" applyBorder="1" applyAlignment="1">
      <alignment horizontal="center" vertical="center" wrapText="1"/>
    </xf>
    <xf numFmtId="0" fontId="19" fillId="20" borderId="11" xfId="0" applyFont="1" applyFill="1" applyBorder="1" applyAlignment="1">
      <alignment horizontal="center" vertical="center" wrapText="1"/>
    </xf>
    <xf numFmtId="0" fontId="19" fillId="4" borderId="0" xfId="0" applyFont="1" applyFill="1" applyBorder="1" applyAlignment="1">
      <alignment horizontal="center" vertical="center" wrapText="1"/>
    </xf>
    <xf numFmtId="0" fontId="19" fillId="20" borderId="32" xfId="0" applyFont="1" applyFill="1" applyBorder="1" applyAlignment="1">
      <alignment horizontal="center" vertical="center" wrapText="1"/>
    </xf>
    <xf numFmtId="0" fontId="19" fillId="4" borderId="14" xfId="0" applyFont="1" applyFill="1" applyBorder="1" applyAlignment="1">
      <alignment horizontal="center" vertical="center" wrapText="1"/>
    </xf>
    <xf numFmtId="0" fontId="4" fillId="0" borderId="8" xfId="0" applyFont="1" applyFill="1" applyBorder="1" applyAlignment="1" applyProtection="1">
      <alignment horizontal="left" vertical="center" wrapText="1"/>
    </xf>
    <xf numFmtId="0" fontId="4" fillId="0" borderId="22" xfId="0" applyFont="1" applyFill="1" applyBorder="1" applyAlignment="1" applyProtection="1">
      <alignment horizontal="left" vertical="center" wrapText="1"/>
    </xf>
    <xf numFmtId="0" fontId="4" fillId="0" borderId="13" xfId="0" applyFont="1" applyFill="1" applyBorder="1" applyAlignment="1" applyProtection="1">
      <alignment horizontal="left" vertical="center" wrapText="1"/>
    </xf>
    <xf numFmtId="0" fontId="4" fillId="0" borderId="15" xfId="0" applyFont="1" applyFill="1" applyBorder="1" applyAlignment="1" applyProtection="1">
      <alignment horizontal="left" vertical="center" wrapText="1"/>
    </xf>
    <xf numFmtId="0" fontId="19" fillId="20" borderId="75" xfId="0" applyFont="1" applyFill="1" applyBorder="1" applyAlignment="1">
      <alignment horizontal="center" vertical="center" wrapText="1"/>
    </xf>
    <xf numFmtId="0" fontId="19" fillId="20" borderId="10" xfId="0" applyFont="1" applyFill="1" applyBorder="1" applyAlignment="1">
      <alignment horizontal="center" vertical="center" wrapText="1"/>
    </xf>
    <xf numFmtId="0" fontId="19" fillId="20" borderId="12" xfId="0" applyFont="1" applyFill="1" applyBorder="1" applyAlignment="1">
      <alignment horizontal="center" vertical="center" wrapText="1"/>
    </xf>
    <xf numFmtId="0" fontId="19" fillId="20" borderId="76" xfId="0" applyFont="1" applyFill="1" applyBorder="1" applyAlignment="1">
      <alignment horizontal="center" vertical="center" wrapText="1"/>
    </xf>
    <xf numFmtId="0" fontId="19" fillId="20" borderId="77" xfId="0" applyFont="1" applyFill="1" applyBorder="1" applyAlignment="1">
      <alignment horizontal="center" vertical="center" wrapText="1"/>
    </xf>
    <xf numFmtId="0" fontId="4" fillId="0" borderId="5"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2" fontId="2" fillId="19" borderId="5" xfId="0" applyNumberFormat="1" applyFont="1" applyFill="1" applyBorder="1" applyAlignment="1">
      <alignment horizontal="center" vertical="center" wrapText="1"/>
    </xf>
    <xf numFmtId="2" fontId="2" fillId="19" borderId="12" xfId="0" applyNumberFormat="1" applyFont="1" applyFill="1" applyBorder="1" applyAlignment="1">
      <alignment horizontal="center" vertical="center" wrapText="1"/>
    </xf>
    <xf numFmtId="0" fontId="2" fillId="19" borderId="5" xfId="0" applyFont="1" applyFill="1" applyBorder="1" applyAlignment="1">
      <alignment horizontal="center" vertical="center" wrapText="1"/>
    </xf>
    <xf numFmtId="0" fontId="2" fillId="19" borderId="12" xfId="0" applyFont="1" applyFill="1" applyBorder="1" applyAlignment="1">
      <alignment horizontal="center" vertical="center" wrapText="1"/>
    </xf>
    <xf numFmtId="0" fontId="4" fillId="5" borderId="8" xfId="0" applyFont="1" applyFill="1" applyBorder="1" applyAlignment="1">
      <alignment horizontal="center" vertical="center"/>
    </xf>
    <xf numFmtId="0" fontId="4" fillId="5" borderId="22" xfId="0" applyFont="1" applyFill="1" applyBorder="1" applyAlignment="1">
      <alignment horizontal="center" vertical="center"/>
    </xf>
    <xf numFmtId="0" fontId="4" fillId="0" borderId="0" xfId="0" applyFont="1" applyFill="1" applyBorder="1" applyAlignment="1" applyProtection="1">
      <alignment horizontal="right" vertical="center"/>
    </xf>
    <xf numFmtId="0" fontId="4" fillId="0" borderId="36" xfId="0" applyFont="1" applyFill="1" applyBorder="1" applyAlignment="1" applyProtection="1">
      <alignment horizontal="right" vertical="center"/>
    </xf>
    <xf numFmtId="14" fontId="19" fillId="0" borderId="36" xfId="0" applyNumberFormat="1" applyFont="1" applyFill="1" applyBorder="1" applyAlignment="1" applyProtection="1">
      <alignment horizontal="center" vertical="center"/>
    </xf>
    <xf numFmtId="14" fontId="19" fillId="0" borderId="0" xfId="0" applyNumberFormat="1" applyFont="1" applyFill="1" applyBorder="1" applyAlignment="1" applyProtection="1">
      <alignment horizontal="center" vertical="center"/>
    </xf>
    <xf numFmtId="0" fontId="19" fillId="0" borderId="3" xfId="0" applyFont="1" applyFill="1" applyBorder="1" applyAlignment="1">
      <alignment horizontal="left" vertical="top" wrapText="1"/>
    </xf>
    <xf numFmtId="0" fontId="19" fillId="0" borderId="5"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19" fillId="0" borderId="12" xfId="0" applyNumberFormat="1" applyFont="1" applyFill="1" applyBorder="1" applyAlignment="1">
      <alignment horizontal="center" vertical="center"/>
    </xf>
    <xf numFmtId="0" fontId="19" fillId="0" borderId="8" xfId="0" applyFont="1" applyBorder="1" applyAlignment="1">
      <alignment horizontal="left" vertical="top" wrapText="1"/>
    </xf>
    <xf numFmtId="0" fontId="19" fillId="0" borderId="11" xfId="0" applyFont="1" applyBorder="1" applyAlignment="1">
      <alignment horizontal="left" vertical="top" wrapText="1"/>
    </xf>
    <xf numFmtId="0" fontId="19" fillId="0" borderId="13" xfId="0" applyFont="1" applyBorder="1" applyAlignment="1">
      <alignment horizontal="left" vertical="top" wrapText="1"/>
    </xf>
    <xf numFmtId="14" fontId="19" fillId="0" borderId="34" xfId="0" applyNumberFormat="1" applyFont="1" applyFill="1" applyBorder="1" applyAlignment="1" applyProtection="1">
      <alignment horizontal="center" vertical="center"/>
    </xf>
    <xf numFmtId="0" fontId="19" fillId="4" borderId="5" xfId="0" applyFont="1" applyFill="1" applyBorder="1" applyAlignment="1" applyProtection="1">
      <alignment horizontal="center" vertical="center" wrapText="1"/>
      <protection locked="0"/>
    </xf>
    <xf numFmtId="0" fontId="19" fillId="4" borderId="12" xfId="0" applyFont="1" applyFill="1" applyBorder="1" applyAlignment="1" applyProtection="1">
      <alignment horizontal="center" vertical="center" wrapText="1"/>
      <protection locked="0"/>
    </xf>
    <xf numFmtId="0" fontId="19" fillId="0" borderId="8" xfId="0" applyFont="1" applyFill="1" applyBorder="1" applyAlignment="1" applyProtection="1">
      <alignment horizontal="center" vertical="center" wrapText="1"/>
      <protection locked="0"/>
    </xf>
    <xf numFmtId="0" fontId="19" fillId="0" borderId="9" xfId="0" applyFont="1" applyFill="1" applyBorder="1" applyAlignment="1" applyProtection="1">
      <alignment horizontal="center" vertical="center" wrapText="1"/>
      <protection locked="0"/>
    </xf>
    <xf numFmtId="0" fontId="19" fillId="0" borderId="22" xfId="0" applyFont="1" applyFill="1" applyBorder="1" applyAlignment="1" applyProtection="1">
      <alignment horizontal="center" vertical="center" wrapText="1"/>
      <protection locked="0"/>
    </xf>
    <xf numFmtId="0" fontId="19" fillId="0" borderId="11" xfId="0" applyFont="1" applyFill="1" applyBorder="1" applyAlignment="1" applyProtection="1">
      <alignment horizontal="center" vertical="center" wrapText="1"/>
      <protection locked="0"/>
    </xf>
    <xf numFmtId="0" fontId="19" fillId="0" borderId="0" xfId="0" applyFont="1" applyFill="1" applyBorder="1" applyAlignment="1" applyProtection="1">
      <alignment horizontal="center" vertical="center" wrapText="1"/>
      <protection locked="0"/>
    </xf>
    <xf numFmtId="0" fontId="19" fillId="0" borderId="32" xfId="0" applyFont="1" applyFill="1" applyBorder="1" applyAlignment="1" applyProtection="1">
      <alignment horizontal="center" vertical="center" wrapText="1"/>
      <protection locked="0"/>
    </xf>
    <xf numFmtId="0" fontId="13" fillId="0" borderId="5" xfId="0" applyNumberFormat="1" applyFont="1" applyFill="1" applyBorder="1" applyAlignment="1">
      <alignment horizontal="center" vertical="center"/>
    </xf>
    <xf numFmtId="0" fontId="13" fillId="0" borderId="12" xfId="0" applyNumberFormat="1" applyFont="1" applyFill="1" applyBorder="1" applyAlignment="1">
      <alignment horizontal="center" vertical="center"/>
    </xf>
    <xf numFmtId="0" fontId="4" fillId="5" borderId="3" xfId="0" applyFont="1" applyFill="1" applyBorder="1" applyAlignment="1">
      <alignment horizontal="center" vertical="center"/>
    </xf>
    <xf numFmtId="0" fontId="4" fillId="0" borderId="5" xfId="0" applyNumberFormat="1" applyFont="1" applyFill="1" applyBorder="1" applyAlignment="1">
      <alignment horizontal="left" vertical="center" wrapText="1"/>
    </xf>
    <xf numFmtId="0" fontId="4" fillId="5" borderId="13" xfId="0" applyFont="1" applyFill="1" applyBorder="1" applyAlignment="1">
      <alignment horizontal="center" vertical="center"/>
    </xf>
    <xf numFmtId="0" fontId="4" fillId="5" borderId="3" xfId="0" applyFont="1" applyFill="1" applyBorder="1" applyAlignment="1">
      <alignment horizontal="center" vertical="center" wrapText="1"/>
    </xf>
    <xf numFmtId="175" fontId="4" fillId="0" borderId="3" xfId="0" applyNumberFormat="1" applyFont="1" applyBorder="1" applyAlignment="1">
      <alignment horizontal="center" vertical="center"/>
    </xf>
    <xf numFmtId="0" fontId="13" fillId="0" borderId="22" xfId="0" applyFont="1" applyFill="1" applyBorder="1" applyAlignment="1">
      <alignment horizontal="left" vertical="center" wrapText="1"/>
    </xf>
    <xf numFmtId="0" fontId="13" fillId="0" borderId="15" xfId="0" applyFont="1" applyFill="1" applyBorder="1" applyAlignment="1">
      <alignment horizontal="left" vertical="center" wrapText="1"/>
    </xf>
    <xf numFmtId="14" fontId="13" fillId="0" borderId="34" xfId="0" applyNumberFormat="1" applyFont="1" applyBorder="1" applyAlignment="1">
      <alignment horizontal="center"/>
    </xf>
    <xf numFmtId="0" fontId="13" fillId="2" borderId="8"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2" xfId="0" applyFont="1" applyFill="1" applyBorder="1" applyAlignment="1">
      <alignment horizontal="center" vertical="center"/>
    </xf>
    <xf numFmtId="0" fontId="13" fillId="2" borderId="13"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15" xfId="0" applyFont="1" applyFill="1" applyBorder="1" applyAlignment="1">
      <alignment horizontal="center" vertical="center"/>
    </xf>
    <xf numFmtId="0" fontId="3" fillId="0" borderId="4" xfId="0" applyFont="1" applyFill="1" applyBorder="1" applyAlignment="1">
      <alignment horizontal="left" vertical="center"/>
    </xf>
    <xf numFmtId="0" fontId="3" fillId="0" borderId="6" xfId="0" applyFont="1" applyFill="1" applyBorder="1" applyAlignment="1">
      <alignment horizontal="left" vertical="center"/>
    </xf>
    <xf numFmtId="0" fontId="3" fillId="0" borderId="7" xfId="0" applyFont="1" applyFill="1" applyBorder="1" applyAlignment="1">
      <alignment horizontal="left" vertical="center"/>
    </xf>
    <xf numFmtId="14" fontId="2" fillId="0" borderId="0" xfId="0" applyNumberFormat="1" applyFont="1" applyBorder="1" applyAlignment="1">
      <alignment horizontal="center"/>
    </xf>
    <xf numFmtId="14" fontId="4" fillId="0" borderId="38" xfId="3" applyNumberFormat="1" applyFont="1" applyFill="1" applyBorder="1" applyAlignment="1" applyProtection="1">
      <alignment horizontal="center" vertical="center"/>
    </xf>
    <xf numFmtId="0" fontId="20" fillId="0" borderId="0" xfId="0" applyFont="1" applyBorder="1" applyAlignment="1">
      <alignment horizontal="center" vertical="center"/>
    </xf>
    <xf numFmtId="14" fontId="4" fillId="0" borderId="0" xfId="0" applyNumberFormat="1" applyFont="1" applyBorder="1" applyAlignment="1">
      <alignment horizontal="center"/>
    </xf>
    <xf numFmtId="0" fontId="4" fillId="0" borderId="48" xfId="0" applyFont="1" applyBorder="1" applyAlignment="1">
      <alignment horizontal="center"/>
    </xf>
    <xf numFmtId="0" fontId="4" fillId="0" borderId="48" xfId="0" applyFont="1" applyBorder="1" applyAlignment="1">
      <alignment horizontal="left" vertical="center" wrapText="1"/>
    </xf>
    <xf numFmtId="0" fontId="4" fillId="0" borderId="48" xfId="0" applyFont="1" applyBorder="1" applyAlignment="1">
      <alignment horizontal="center" vertical="center"/>
    </xf>
    <xf numFmtId="0" fontId="4" fillId="0" borderId="49" xfId="0" applyFont="1" applyBorder="1" applyAlignment="1">
      <alignment horizontal="center"/>
    </xf>
    <xf numFmtId="0" fontId="4" fillId="0" borderId="49" xfId="0" applyFont="1" applyBorder="1" applyAlignment="1">
      <alignment horizontal="left" vertical="center" wrapText="1"/>
    </xf>
    <xf numFmtId="0" fontId="4" fillId="0" borderId="49" xfId="0" applyFont="1" applyBorder="1" applyAlignment="1">
      <alignment horizontal="center" vertical="center"/>
    </xf>
    <xf numFmtId="0" fontId="19" fillId="2" borderId="32" xfId="0" applyFont="1" applyFill="1" applyBorder="1" applyAlignment="1">
      <alignment horizontal="center" vertical="center" wrapText="1"/>
    </xf>
    <xf numFmtId="2" fontId="4" fillId="3" borderId="5" xfId="0" applyNumberFormat="1" applyFont="1" applyFill="1" applyBorder="1" applyAlignment="1">
      <alignment horizontal="center" vertical="center"/>
    </xf>
    <xf numFmtId="2" fontId="4" fillId="3" borderId="12" xfId="0" applyNumberFormat="1" applyFont="1" applyFill="1" applyBorder="1" applyAlignment="1">
      <alignment horizontal="center" vertical="center"/>
    </xf>
    <xf numFmtId="2" fontId="4" fillId="2" borderId="5" xfId="0" applyNumberFormat="1" applyFont="1" applyFill="1" applyBorder="1" applyAlignment="1">
      <alignment horizontal="center" vertical="center"/>
    </xf>
    <xf numFmtId="2" fontId="4" fillId="2" borderId="12" xfId="0" applyNumberFormat="1" applyFont="1" applyFill="1" applyBorder="1" applyAlignment="1">
      <alignment horizontal="center" vertical="center"/>
    </xf>
    <xf numFmtId="0" fontId="4" fillId="0" borderId="0" xfId="0" applyFont="1" applyBorder="1" applyAlignment="1">
      <alignment horizontal="left"/>
    </xf>
    <xf numFmtId="0" fontId="4" fillId="5" borderId="4" xfId="0" applyFont="1" applyFill="1" applyBorder="1" applyAlignment="1">
      <alignment horizontal="center" vertical="center"/>
    </xf>
    <xf numFmtId="0" fontId="4" fillId="5" borderId="6" xfId="0" applyFont="1" applyFill="1" applyBorder="1" applyAlignment="1">
      <alignment horizontal="center" vertical="center"/>
    </xf>
    <xf numFmtId="0" fontId="4" fillId="5" borderId="7" xfId="0" applyFont="1" applyFill="1" applyBorder="1" applyAlignment="1">
      <alignment horizontal="center" vertical="center"/>
    </xf>
    <xf numFmtId="175" fontId="4" fillId="0" borderId="4" xfId="0" applyNumberFormat="1" applyFont="1" applyBorder="1" applyAlignment="1">
      <alignment horizontal="center" vertical="center"/>
    </xf>
    <xf numFmtId="175" fontId="4" fillId="0" borderId="6" xfId="0" applyNumberFormat="1" applyFont="1" applyBorder="1" applyAlignment="1">
      <alignment horizontal="center" vertical="center"/>
    </xf>
    <xf numFmtId="175" fontId="4" fillId="0" borderId="7" xfId="0" applyNumberFormat="1" applyFont="1" applyBorder="1" applyAlignment="1">
      <alignment horizontal="center" vertical="center"/>
    </xf>
    <xf numFmtId="0" fontId="2" fillId="0" borderId="3" xfId="0" applyNumberFormat="1" applyFont="1" applyFill="1" applyBorder="1" applyAlignment="1">
      <alignment horizontal="left" vertical="center" wrapText="1"/>
    </xf>
    <xf numFmtId="0" fontId="2" fillId="0" borderId="5" xfId="0" applyNumberFormat="1" applyFont="1" applyFill="1" applyBorder="1" applyAlignment="1">
      <alignment horizontal="center" vertical="center" wrapText="1"/>
    </xf>
    <xf numFmtId="0" fontId="2" fillId="0" borderId="10" xfId="0" applyNumberFormat="1" applyFont="1" applyFill="1" applyBorder="1" applyAlignment="1">
      <alignment horizontal="center" vertical="center" wrapText="1"/>
    </xf>
    <xf numFmtId="0" fontId="2" fillId="0" borderId="12" xfId="0" applyNumberFormat="1" applyFont="1" applyFill="1" applyBorder="1" applyAlignment="1">
      <alignment horizontal="center" vertical="center" wrapText="1"/>
    </xf>
    <xf numFmtId="0" fontId="19" fillId="7" borderId="4" xfId="0" applyNumberFormat="1" applyFont="1" applyFill="1" applyBorder="1" applyAlignment="1">
      <alignment horizontal="left" vertical="center" wrapText="1"/>
    </xf>
    <xf numFmtId="0" fontId="19" fillId="7" borderId="6" xfId="0" applyNumberFormat="1" applyFont="1" applyFill="1" applyBorder="1" applyAlignment="1">
      <alignment horizontal="left" vertical="center" wrapText="1"/>
    </xf>
    <xf numFmtId="0" fontId="19" fillId="7" borderId="7" xfId="0" applyNumberFormat="1" applyFont="1" applyFill="1" applyBorder="1" applyAlignment="1">
      <alignment horizontal="left" vertical="center" wrapText="1"/>
    </xf>
    <xf numFmtId="0" fontId="9" fillId="0" borderId="6" xfId="0" applyFont="1" applyBorder="1" applyAlignment="1">
      <alignment horizontal="center"/>
    </xf>
    <xf numFmtId="2" fontId="19" fillId="0" borderId="6" xfId="0" applyNumberFormat="1" applyFont="1" applyFill="1" applyBorder="1" applyAlignment="1">
      <alignment horizontal="center" vertical="center"/>
    </xf>
    <xf numFmtId="0" fontId="19" fillId="8" borderId="6" xfId="0" applyNumberFormat="1" applyFont="1" applyFill="1" applyBorder="1" applyAlignment="1">
      <alignment horizontal="center" vertical="center" wrapText="1"/>
    </xf>
    <xf numFmtId="0" fontId="19" fillId="8" borderId="3" xfId="0" applyNumberFormat="1" applyFont="1" applyFill="1" applyBorder="1" applyAlignment="1">
      <alignment horizontal="center" vertical="center" wrapText="1"/>
    </xf>
    <xf numFmtId="14" fontId="2" fillId="0" borderId="38" xfId="0" applyNumberFormat="1" applyFont="1" applyBorder="1" applyAlignment="1">
      <alignment horizontal="center" vertical="center"/>
    </xf>
    <xf numFmtId="0" fontId="2" fillId="0" borderId="38" xfId="0" applyFont="1" applyBorder="1" applyAlignment="1">
      <alignment horizontal="center" vertical="center"/>
    </xf>
    <xf numFmtId="1" fontId="4" fillId="3" borderId="4" xfId="0" applyNumberFormat="1" applyFont="1" applyFill="1" applyBorder="1" applyAlignment="1">
      <alignment horizontal="left"/>
    </xf>
    <xf numFmtId="0" fontId="4" fillId="0" borderId="4" xfId="0" applyNumberFormat="1" applyFont="1" applyFill="1" applyBorder="1" applyAlignment="1">
      <alignment horizontal="left" vertical="center"/>
    </xf>
    <xf numFmtId="0" fontId="4" fillId="0" borderId="6" xfId="0" applyNumberFormat="1" applyFont="1" applyFill="1" applyBorder="1" applyAlignment="1">
      <alignment horizontal="left" vertical="center"/>
    </xf>
    <xf numFmtId="0" fontId="4" fillId="0" borderId="7" xfId="0" applyNumberFormat="1" applyFont="1" applyFill="1" applyBorder="1" applyAlignment="1">
      <alignment horizontal="left" vertical="center"/>
    </xf>
    <xf numFmtId="0" fontId="4" fillId="4" borderId="5"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19" fillId="2" borderId="3" xfId="0" applyFont="1" applyFill="1" applyBorder="1" applyAlignment="1" applyProtection="1">
      <alignment horizontal="center" vertical="center" wrapText="1"/>
      <protection locked="0"/>
    </xf>
    <xf numFmtId="0" fontId="19" fillId="2" borderId="4" xfId="0" applyFont="1" applyFill="1" applyBorder="1" applyAlignment="1" applyProtection="1">
      <alignment horizontal="center" vertical="center" wrapText="1"/>
      <protection locked="0"/>
    </xf>
    <xf numFmtId="0" fontId="19" fillId="2" borderId="6" xfId="0" applyFont="1" applyFill="1" applyBorder="1" applyAlignment="1" applyProtection="1">
      <alignment horizontal="center" vertical="center" wrapText="1"/>
      <protection locked="0"/>
    </xf>
    <xf numFmtId="0" fontId="19" fillId="0" borderId="4" xfId="0" applyFont="1" applyFill="1" applyBorder="1" applyAlignment="1" applyProtection="1">
      <alignment horizontal="center" vertical="center" wrapText="1"/>
      <protection locked="0"/>
    </xf>
    <xf numFmtId="0" fontId="19" fillId="0" borderId="6" xfId="0" applyFont="1" applyFill="1" applyBorder="1" applyAlignment="1" applyProtection="1">
      <alignment horizontal="center" vertical="center" wrapText="1"/>
      <protection locked="0"/>
    </xf>
    <xf numFmtId="0" fontId="19" fillId="0" borderId="7" xfId="0" applyFont="1" applyFill="1" applyBorder="1" applyAlignment="1" applyProtection="1">
      <alignment horizontal="center" vertical="center" wrapText="1"/>
      <protection locked="0"/>
    </xf>
    <xf numFmtId="1" fontId="4" fillId="0" borderId="6" xfId="0" applyNumberFormat="1" applyFont="1" applyFill="1" applyBorder="1" applyAlignment="1">
      <alignment horizontal="center" vertical="center"/>
    </xf>
    <xf numFmtId="0" fontId="4" fillId="2" borderId="3" xfId="0" applyNumberFormat="1" applyFont="1" applyFill="1" applyBorder="1" applyAlignment="1">
      <alignment horizontal="center" vertical="center"/>
    </xf>
    <xf numFmtId="0" fontId="19" fillId="0" borderId="13" xfId="0" applyFont="1" applyFill="1" applyBorder="1" applyAlignment="1" applyProtection="1">
      <alignment horizontal="center" vertical="center" wrapText="1"/>
      <protection locked="0"/>
    </xf>
    <xf numFmtId="0" fontId="19" fillId="0" borderId="14" xfId="0" applyFont="1" applyFill="1" applyBorder="1" applyAlignment="1" applyProtection="1">
      <alignment horizontal="center" vertical="center" wrapText="1"/>
      <protection locked="0"/>
    </xf>
    <xf numFmtId="0" fontId="19" fillId="0" borderId="15" xfId="0" applyFont="1" applyFill="1" applyBorder="1" applyAlignment="1" applyProtection="1">
      <alignment horizontal="center" vertical="center" wrapText="1"/>
      <protection locked="0"/>
    </xf>
    <xf numFmtId="0" fontId="19" fillId="0" borderId="5" xfId="0" applyFont="1" applyFill="1" applyBorder="1" applyAlignment="1">
      <alignment horizontal="left" vertical="top" wrapText="1"/>
    </xf>
    <xf numFmtId="0" fontId="19" fillId="0" borderId="10" xfId="0" applyFont="1" applyFill="1" applyBorder="1" applyAlignment="1">
      <alignment horizontal="left" vertical="top" wrapText="1"/>
    </xf>
    <xf numFmtId="0" fontId="19" fillId="0" borderId="12" xfId="0" applyFont="1" applyFill="1" applyBorder="1" applyAlignment="1">
      <alignment horizontal="left" vertical="top" wrapText="1"/>
    </xf>
    <xf numFmtId="2" fontId="4" fillId="19" borderId="3" xfId="0" applyNumberFormat="1" applyFont="1" applyFill="1" applyBorder="1" applyAlignment="1">
      <alignment horizontal="center" vertical="center"/>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22" xfId="0" applyFont="1" applyBorder="1" applyAlignment="1">
      <alignment horizontal="left" vertical="top" wrapText="1"/>
    </xf>
    <xf numFmtId="0" fontId="4" fillId="0" borderId="11" xfId="0" applyFont="1" applyBorder="1" applyAlignment="1">
      <alignment horizontal="left" vertical="top" wrapText="1"/>
    </xf>
    <xf numFmtId="0" fontId="4" fillId="0" borderId="0" xfId="0" applyFont="1" applyBorder="1" applyAlignment="1">
      <alignment horizontal="left" vertical="top" wrapText="1"/>
    </xf>
    <xf numFmtId="0" fontId="4" fillId="0" borderId="32" xfId="0" applyFont="1" applyBorder="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15" xfId="0" applyFont="1" applyBorder="1" applyAlignment="1">
      <alignment horizontal="left" vertical="top" wrapText="1"/>
    </xf>
    <xf numFmtId="0" fontId="4" fillId="0" borderId="11" xfId="0" applyNumberFormat="1" applyFont="1" applyFill="1" applyBorder="1" applyAlignment="1">
      <alignment horizontal="center" vertical="center"/>
    </xf>
    <xf numFmtId="0" fontId="4" fillId="0" borderId="32" xfId="0" applyNumberFormat="1" applyFont="1" applyFill="1" applyBorder="1" applyAlignment="1">
      <alignment horizontal="center" vertical="center"/>
    </xf>
    <xf numFmtId="0" fontId="13" fillId="2" borderId="4" xfId="0" applyFont="1" applyFill="1" applyBorder="1" applyAlignment="1">
      <alignment horizontal="center" vertical="center"/>
    </xf>
    <xf numFmtId="0" fontId="13" fillId="2" borderId="6" xfId="0" applyFont="1" applyFill="1" applyBorder="1" applyAlignment="1">
      <alignment horizontal="center" vertical="center"/>
    </xf>
    <xf numFmtId="0" fontId="4" fillId="0" borderId="3" xfId="0" applyFont="1" applyBorder="1" applyAlignment="1">
      <alignment horizontal="left" vertical="top"/>
    </xf>
    <xf numFmtId="0" fontId="19" fillId="2" borderId="3" xfId="0" applyFont="1" applyFill="1" applyBorder="1" applyAlignment="1">
      <alignment horizontal="left"/>
    </xf>
    <xf numFmtId="0" fontId="19" fillId="0" borderId="11"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32" xfId="0" applyFont="1" applyFill="1" applyBorder="1" applyAlignment="1">
      <alignment horizontal="left" vertical="center" wrapText="1"/>
    </xf>
    <xf numFmtId="0" fontId="4" fillId="11" borderId="9" xfId="0" applyFont="1" applyFill="1" applyBorder="1" applyAlignment="1">
      <alignment horizontal="left" vertical="center" wrapText="1"/>
    </xf>
    <xf numFmtId="0" fontId="4" fillId="11" borderId="22" xfId="0" applyFont="1" applyFill="1" applyBorder="1" applyAlignment="1">
      <alignment horizontal="left" vertical="center" wrapText="1"/>
    </xf>
    <xf numFmtId="0" fontId="4" fillId="11" borderId="13" xfId="0" applyFont="1" applyFill="1" applyBorder="1" applyAlignment="1">
      <alignment horizontal="left" vertical="center" wrapText="1"/>
    </xf>
    <xf numFmtId="0" fontId="4" fillId="11" borderId="14" xfId="0" applyFont="1" applyFill="1" applyBorder="1" applyAlignment="1">
      <alignment horizontal="left" vertical="center" wrapText="1"/>
    </xf>
    <xf numFmtId="0" fontId="4" fillId="11" borderId="15" xfId="0" applyFont="1" applyFill="1" applyBorder="1" applyAlignment="1">
      <alignment horizontal="left" vertical="center" wrapText="1"/>
    </xf>
    <xf numFmtId="0" fontId="19" fillId="2" borderId="4" xfId="0" applyFont="1" applyFill="1" applyBorder="1" applyAlignment="1">
      <alignment horizontal="left" vertical="center" wrapText="1"/>
    </xf>
    <xf numFmtId="0" fontId="19" fillId="2" borderId="6" xfId="0" applyFont="1" applyFill="1" applyBorder="1" applyAlignment="1">
      <alignment horizontal="left" vertical="center" wrapText="1"/>
    </xf>
    <xf numFmtId="0" fontId="19" fillId="2" borderId="7" xfId="0" applyFont="1" applyFill="1" applyBorder="1" applyAlignment="1">
      <alignment horizontal="left" vertical="center" wrapText="1"/>
    </xf>
    <xf numFmtId="10" fontId="4" fillId="0" borderId="5" xfId="0" applyNumberFormat="1" applyFont="1" applyBorder="1" applyAlignment="1">
      <alignment horizontal="center" vertical="center"/>
    </xf>
    <xf numFmtId="10" fontId="4" fillId="0" borderId="12" xfId="0" applyNumberFormat="1" applyFont="1" applyBorder="1" applyAlignment="1">
      <alignment horizontal="center" vertical="center"/>
    </xf>
    <xf numFmtId="0" fontId="4" fillId="0" borderId="4" xfId="0" applyFont="1" applyBorder="1" applyAlignment="1" applyProtection="1">
      <alignment horizontal="left" vertical="center" wrapText="1"/>
      <protection hidden="1"/>
    </xf>
    <xf numFmtId="0" fontId="4" fillId="0" borderId="6" xfId="0" applyFont="1" applyBorder="1" applyAlignment="1" applyProtection="1">
      <alignment horizontal="left" vertical="center" wrapText="1"/>
      <protection hidden="1"/>
    </xf>
    <xf numFmtId="0" fontId="4" fillId="0" borderId="7" xfId="0" applyFont="1" applyBorder="1" applyAlignment="1" applyProtection="1">
      <alignment horizontal="left" vertical="center" wrapText="1"/>
      <protection hidden="1"/>
    </xf>
    <xf numFmtId="0" fontId="2" fillId="0" borderId="3" xfId="0" applyFont="1" applyBorder="1" applyAlignment="1">
      <alignment vertical="center"/>
    </xf>
    <xf numFmtId="0" fontId="19" fillId="0" borderId="3" xfId="0" applyFont="1" applyBorder="1" applyAlignment="1">
      <alignment vertical="center"/>
    </xf>
    <xf numFmtId="0" fontId="4" fillId="0" borderId="3" xfId="0" applyFont="1" applyBorder="1" applyAlignment="1" applyProtection="1">
      <alignment vertical="center"/>
      <protection hidden="1"/>
    </xf>
    <xf numFmtId="0" fontId="4" fillId="0" borderId="3" xfId="0" applyFont="1" applyFill="1" applyBorder="1" applyAlignment="1" applyProtection="1">
      <alignment vertical="center"/>
      <protection hidden="1"/>
    </xf>
    <xf numFmtId="4" fontId="4" fillId="0" borderId="4" xfId="0" applyNumberFormat="1" applyFont="1" applyFill="1" applyBorder="1" applyAlignment="1" applyProtection="1">
      <alignment horizontal="center" vertical="center" wrapText="1"/>
      <protection hidden="1"/>
    </xf>
    <xf numFmtId="4" fontId="4" fillId="0" borderId="7" xfId="0" applyNumberFormat="1" applyFont="1" applyFill="1" applyBorder="1" applyAlignment="1" applyProtection="1">
      <alignment horizontal="center" vertical="center" wrapText="1"/>
      <protection hidden="1"/>
    </xf>
    <xf numFmtId="0" fontId="19" fillId="0" borderId="3"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protection hidden="1"/>
    </xf>
    <xf numFmtId="0" fontId="4" fillId="0" borderId="10" xfId="0" applyFont="1" applyBorder="1" applyAlignment="1" applyProtection="1">
      <alignment horizontal="center" vertical="center"/>
      <protection hidden="1"/>
    </xf>
    <xf numFmtId="0" fontId="4" fillId="0" borderId="12" xfId="0" applyFont="1" applyBorder="1" applyAlignment="1" applyProtection="1">
      <alignment horizontal="center" vertical="center"/>
      <protection hidden="1"/>
    </xf>
    <xf numFmtId="0" fontId="19" fillId="0" borderId="10" xfId="0" applyFont="1" applyFill="1" applyBorder="1" applyAlignment="1" applyProtection="1">
      <alignment horizontal="center" vertical="center" wrapText="1"/>
      <protection hidden="1"/>
    </xf>
    <xf numFmtId="0" fontId="19" fillId="0" borderId="12" xfId="0" applyFont="1" applyFill="1" applyBorder="1" applyAlignment="1" applyProtection="1">
      <alignment horizontal="center" vertical="center" wrapText="1"/>
      <protection hidden="1"/>
    </xf>
    <xf numFmtId="0" fontId="19" fillId="0" borderId="5" xfId="0" applyFont="1" applyBorder="1" applyAlignment="1" applyProtection="1">
      <alignment horizontal="center" vertical="center" wrapText="1"/>
      <protection hidden="1"/>
    </xf>
    <xf numFmtId="0" fontId="19" fillId="0" borderId="10" xfId="0" applyFont="1" applyBorder="1" applyAlignment="1" applyProtection="1">
      <alignment horizontal="center" vertical="center" wrapText="1"/>
      <protection hidden="1"/>
    </xf>
    <xf numFmtId="0" fontId="19" fillId="0" borderId="12" xfId="0" applyFont="1" applyBorder="1" applyAlignment="1" applyProtection="1">
      <alignment horizontal="center" vertical="center" wrapText="1"/>
      <protection hidden="1"/>
    </xf>
    <xf numFmtId="0" fontId="19" fillId="2" borderId="4" xfId="0" applyFont="1" applyFill="1" applyBorder="1" applyAlignment="1" applyProtection="1">
      <alignment horizontal="center" vertical="center" wrapText="1"/>
      <protection hidden="1"/>
    </xf>
    <xf numFmtId="0" fontId="19" fillId="2" borderId="6" xfId="0" applyFont="1" applyFill="1" applyBorder="1" applyAlignment="1" applyProtection="1">
      <alignment horizontal="center" vertical="center" wrapText="1"/>
      <protection hidden="1"/>
    </xf>
    <xf numFmtId="0" fontId="19" fillId="2" borderId="7" xfId="0" applyFont="1" applyFill="1" applyBorder="1" applyAlignment="1" applyProtection="1">
      <alignment horizontal="center" vertical="center" wrapText="1"/>
      <protection hidden="1"/>
    </xf>
    <xf numFmtId="0" fontId="19" fillId="0" borderId="3" xfId="0" applyFont="1" applyFill="1" applyBorder="1" applyAlignment="1" applyProtection="1">
      <alignment horizontal="center" vertical="center" wrapText="1"/>
      <protection hidden="1"/>
    </xf>
    <xf numFmtId="0" fontId="19" fillId="2" borderId="5" xfId="0" applyFont="1" applyFill="1" applyBorder="1" applyAlignment="1" applyProtection="1">
      <alignment horizontal="center" vertical="center" wrapText="1"/>
      <protection hidden="1"/>
    </xf>
    <xf numFmtId="0" fontId="19" fillId="2" borderId="12" xfId="0" applyFont="1" applyFill="1" applyBorder="1" applyAlignment="1" applyProtection="1">
      <alignment horizontal="center" vertical="center" wrapText="1"/>
      <protection hidden="1"/>
    </xf>
    <xf numFmtId="3" fontId="19" fillId="2" borderId="3" xfId="0" applyNumberFormat="1" applyFont="1" applyFill="1" applyBorder="1" applyAlignment="1" applyProtection="1">
      <alignment horizontal="center" vertical="center" wrapText="1"/>
      <protection hidden="1"/>
    </xf>
    <xf numFmtId="0" fontId="19" fillId="2" borderId="3" xfId="0" applyFont="1" applyFill="1" applyBorder="1" applyAlignment="1" applyProtection="1">
      <alignment horizontal="center" vertical="center" wrapText="1"/>
      <protection hidden="1"/>
    </xf>
    <xf numFmtId="0" fontId="19" fillId="4" borderId="3" xfId="0" applyFont="1" applyFill="1" applyBorder="1" applyAlignment="1" applyProtection="1">
      <alignment horizontal="center" vertical="center" wrapText="1"/>
      <protection hidden="1"/>
    </xf>
    <xf numFmtId="0" fontId="19" fillId="4" borderId="4" xfId="0" applyFont="1" applyFill="1" applyBorder="1" applyAlignment="1" applyProtection="1">
      <alignment horizontal="center" vertical="center" wrapText="1"/>
      <protection hidden="1"/>
    </xf>
    <xf numFmtId="0" fontId="19" fillId="4" borderId="6" xfId="0" applyFont="1" applyFill="1" applyBorder="1" applyAlignment="1" applyProtection="1">
      <alignment horizontal="center" vertical="center" wrapText="1"/>
      <protection hidden="1"/>
    </xf>
    <xf numFmtId="0" fontId="19" fillId="4" borderId="7" xfId="0" applyFont="1" applyFill="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19" fillId="0" borderId="5" xfId="0" applyFont="1" applyFill="1" applyBorder="1" applyAlignment="1" applyProtection="1">
      <alignment horizontal="center" vertical="center" wrapText="1"/>
      <protection hidden="1"/>
    </xf>
    <xf numFmtId="0" fontId="4" fillId="0" borderId="5" xfId="0" applyNumberFormat="1" applyFont="1" applyFill="1" applyBorder="1" applyAlignment="1" applyProtection="1">
      <alignment horizontal="center" vertical="center" wrapText="1"/>
      <protection hidden="1"/>
    </xf>
    <xf numFmtId="0" fontId="4" fillId="0" borderId="10" xfId="0" applyNumberFormat="1" applyFont="1" applyFill="1" applyBorder="1" applyAlignment="1" applyProtection="1">
      <alignment horizontal="center" vertical="center" wrapText="1"/>
      <protection hidden="1"/>
    </xf>
    <xf numFmtId="0" fontId="0" fillId="0" borderId="3" xfId="0" applyFill="1" applyBorder="1" applyAlignment="1">
      <alignment horizontal="center"/>
    </xf>
    <xf numFmtId="0" fontId="2" fillId="0" borderId="3" xfId="0" applyFont="1" applyFill="1" applyBorder="1" applyAlignment="1" applyProtection="1">
      <alignment horizontal="center" vertical="center" wrapText="1"/>
      <protection hidden="1"/>
    </xf>
    <xf numFmtId="174" fontId="2" fillId="0" borderId="3" xfId="0" applyNumberFormat="1" applyFont="1" applyFill="1" applyBorder="1" applyAlignment="1" applyProtection="1">
      <alignment horizontal="center" vertical="center"/>
      <protection hidden="1"/>
    </xf>
    <xf numFmtId="0" fontId="2" fillId="0" borderId="3" xfId="0" applyNumberFormat="1" applyFont="1" applyFill="1" applyBorder="1" applyAlignment="1" applyProtection="1">
      <alignment horizontal="center" vertical="center" wrapText="1"/>
      <protection hidden="1"/>
    </xf>
    <xf numFmtId="4" fontId="19" fillId="0" borderId="3" xfId="0" applyNumberFormat="1"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protection hidden="1"/>
    </xf>
    <xf numFmtId="0" fontId="19" fillId="0" borderId="4" xfId="0" applyFont="1" applyFill="1" applyBorder="1" applyAlignment="1" applyProtection="1">
      <alignment horizontal="center" wrapText="1"/>
      <protection hidden="1"/>
    </xf>
    <xf numFmtId="0" fontId="19" fillId="0" borderId="7" xfId="0" applyFont="1" applyFill="1" applyBorder="1" applyAlignment="1" applyProtection="1">
      <alignment horizontal="center" wrapText="1"/>
      <protection hidden="1"/>
    </xf>
    <xf numFmtId="0" fontId="19" fillId="0" borderId="4" xfId="0" applyFont="1" applyFill="1" applyBorder="1" applyAlignment="1" applyProtection="1">
      <alignment horizontal="center" vertical="center" wrapText="1"/>
      <protection hidden="1"/>
    </xf>
    <xf numFmtId="0" fontId="19" fillId="0" borderId="7" xfId="0" applyFont="1" applyFill="1" applyBorder="1" applyAlignment="1" applyProtection="1">
      <alignment horizontal="center" vertical="center" wrapText="1"/>
      <protection hidden="1"/>
    </xf>
    <xf numFmtId="4" fontId="13" fillId="0" borderId="3" xfId="0" applyNumberFormat="1" applyFont="1" applyFill="1" applyBorder="1" applyAlignment="1" applyProtection="1">
      <alignment horizontal="center" vertical="center"/>
      <protection hidden="1"/>
    </xf>
    <xf numFmtId="0" fontId="2" fillId="0" borderId="5" xfId="0" applyNumberFormat="1" applyFont="1" applyFill="1" applyBorder="1" applyAlignment="1" applyProtection="1">
      <alignment horizontal="center" vertical="center" wrapText="1"/>
      <protection hidden="1"/>
    </xf>
    <xf numFmtId="0" fontId="2" fillId="0" borderId="12" xfId="0" applyNumberFormat="1" applyFont="1" applyFill="1" applyBorder="1" applyAlignment="1" applyProtection="1">
      <alignment horizontal="center" vertical="center" wrapText="1"/>
      <protection hidden="1"/>
    </xf>
    <xf numFmtId="2" fontId="2" fillId="0" borderId="5" xfId="0" applyNumberFormat="1" applyFont="1" applyFill="1" applyBorder="1" applyAlignment="1" applyProtection="1">
      <alignment horizontal="center" vertical="center" wrapText="1"/>
      <protection hidden="1"/>
    </xf>
    <xf numFmtId="2" fontId="2" fillId="0" borderId="12" xfId="0" applyNumberFormat="1" applyFont="1" applyFill="1" applyBorder="1" applyAlignment="1" applyProtection="1">
      <alignment horizontal="center" vertical="center" wrapText="1"/>
      <protection hidden="1"/>
    </xf>
    <xf numFmtId="2" fontId="2" fillId="0" borderId="3" xfId="0" applyNumberFormat="1" applyFont="1" applyFill="1" applyBorder="1" applyAlignment="1" applyProtection="1">
      <alignment horizontal="center" vertical="center" wrapText="1"/>
      <protection hidden="1"/>
    </xf>
    <xf numFmtId="2" fontId="2" fillId="0" borderId="3" xfId="0" applyNumberFormat="1" applyFont="1" applyFill="1" applyBorder="1" applyAlignment="1" applyProtection="1">
      <alignment horizontal="center" vertical="center"/>
      <protection hidden="1"/>
    </xf>
    <xf numFmtId="0" fontId="2" fillId="0" borderId="5" xfId="0" applyFont="1" applyFill="1" applyBorder="1" applyAlignment="1" applyProtection="1">
      <alignment horizontal="center" vertical="center" wrapText="1"/>
      <protection hidden="1"/>
    </xf>
    <xf numFmtId="0" fontId="2" fillId="0" borderId="12" xfId="0" applyFont="1" applyFill="1" applyBorder="1" applyAlignment="1" applyProtection="1">
      <alignment horizontal="center" vertical="center" wrapText="1"/>
      <protection hidden="1"/>
    </xf>
    <xf numFmtId="0" fontId="19" fillId="0" borderId="8" xfId="0" applyNumberFormat="1" applyFont="1" applyFill="1" applyBorder="1" applyAlignment="1" applyProtection="1">
      <alignment horizontal="center" vertical="center" wrapText="1"/>
      <protection hidden="1"/>
    </xf>
    <xf numFmtId="0" fontId="19" fillId="0" borderId="22" xfId="0" applyNumberFormat="1" applyFont="1" applyFill="1" applyBorder="1" applyAlignment="1" applyProtection="1">
      <alignment horizontal="center" vertical="center" wrapText="1"/>
      <protection hidden="1"/>
    </xf>
    <xf numFmtId="0" fontId="19" fillId="0" borderId="13" xfId="0" applyNumberFormat="1" applyFont="1" applyFill="1" applyBorder="1" applyAlignment="1" applyProtection="1">
      <alignment horizontal="center" vertical="center" wrapText="1"/>
      <protection hidden="1"/>
    </xf>
    <xf numFmtId="0" fontId="19" fillId="0" borderId="15" xfId="0" applyNumberFormat="1" applyFont="1" applyFill="1" applyBorder="1" applyAlignment="1" applyProtection="1">
      <alignment horizontal="center" vertical="center" wrapText="1"/>
      <protection hidden="1"/>
    </xf>
    <xf numFmtId="0" fontId="19" fillId="0" borderId="3" xfId="0" applyNumberFormat="1"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12" xfId="0" applyFont="1" applyBorder="1" applyAlignment="1" applyProtection="1">
      <alignment horizontal="center" vertical="center" wrapText="1"/>
      <protection hidden="1"/>
    </xf>
    <xf numFmtId="0" fontId="19" fillId="0" borderId="8" xfId="0" applyFont="1" applyFill="1" applyBorder="1" applyAlignment="1" applyProtection="1">
      <alignment horizontal="center" vertical="center" wrapText="1"/>
      <protection hidden="1"/>
    </xf>
    <xf numFmtId="0" fontId="19" fillId="0" borderId="22" xfId="0" applyFont="1" applyFill="1" applyBorder="1" applyAlignment="1" applyProtection="1">
      <alignment horizontal="center" vertical="center" wrapText="1"/>
      <protection hidden="1"/>
    </xf>
    <xf numFmtId="0" fontId="19" fillId="0" borderId="13" xfId="0" applyFont="1" applyFill="1" applyBorder="1" applyAlignment="1" applyProtection="1">
      <alignment horizontal="center" vertical="center" wrapText="1"/>
      <protection hidden="1"/>
    </xf>
    <xf numFmtId="0" fontId="19" fillId="0" borderId="15" xfId="0" applyFont="1" applyFill="1" applyBorder="1" applyAlignment="1" applyProtection="1">
      <alignment horizontal="center" vertical="center" wrapText="1"/>
      <protection hidden="1"/>
    </xf>
    <xf numFmtId="2" fontId="2" fillId="0" borderId="5" xfId="0" applyNumberFormat="1" applyFont="1" applyFill="1" applyBorder="1" applyAlignment="1" applyProtection="1">
      <alignment horizontal="center" vertical="center"/>
      <protection hidden="1"/>
    </xf>
    <xf numFmtId="2" fontId="2" fillId="0" borderId="12" xfId="0" applyNumberFormat="1" applyFont="1" applyFill="1" applyBorder="1" applyAlignment="1" applyProtection="1">
      <alignment horizontal="center" vertical="center"/>
      <protection hidden="1"/>
    </xf>
    <xf numFmtId="0" fontId="0" fillId="0" borderId="3" xfId="0" applyBorder="1" applyAlignment="1">
      <alignment horizontal="center"/>
    </xf>
    <xf numFmtId="0" fontId="2" fillId="0" borderId="12" xfId="0" applyFont="1" applyFill="1" applyBorder="1" applyAlignment="1" applyProtection="1">
      <alignment horizontal="center" vertical="center"/>
      <protection hidden="1"/>
    </xf>
    <xf numFmtId="4" fontId="19" fillId="0" borderId="5" xfId="0" applyNumberFormat="1" applyFont="1" applyFill="1" applyBorder="1" applyAlignment="1" applyProtection="1">
      <alignment horizontal="center" vertical="center"/>
      <protection hidden="1"/>
    </xf>
    <xf numFmtId="4" fontId="19" fillId="0" borderId="12" xfId="0" applyNumberFormat="1" applyFont="1" applyFill="1" applyBorder="1" applyAlignment="1" applyProtection="1">
      <alignment horizontal="center" vertical="center"/>
      <protection hidden="1"/>
    </xf>
    <xf numFmtId="0" fontId="2" fillId="0" borderId="8" xfId="0" applyFont="1" applyFill="1" applyBorder="1" applyAlignment="1" applyProtection="1">
      <alignment horizontal="center" vertical="center" wrapText="1"/>
      <protection hidden="1"/>
    </xf>
    <xf numFmtId="0" fontId="2" fillId="0" borderId="9" xfId="0" applyFont="1" applyFill="1" applyBorder="1" applyAlignment="1" applyProtection="1">
      <alignment horizontal="center" vertical="center" wrapText="1"/>
      <protection hidden="1"/>
    </xf>
    <xf numFmtId="0" fontId="2" fillId="0" borderId="22" xfId="0" applyFont="1" applyFill="1" applyBorder="1" applyAlignment="1" applyProtection="1">
      <alignment horizontal="center" vertical="center" wrapText="1"/>
      <protection hidden="1"/>
    </xf>
    <xf numFmtId="0" fontId="2" fillId="0" borderId="13" xfId="0" applyFont="1" applyFill="1" applyBorder="1" applyAlignment="1" applyProtection="1">
      <alignment horizontal="center" vertical="center" wrapText="1"/>
      <protection hidden="1"/>
    </xf>
    <xf numFmtId="0" fontId="2" fillId="0" borderId="14" xfId="0" applyFont="1" applyFill="1" applyBorder="1" applyAlignment="1" applyProtection="1">
      <alignment horizontal="center" vertical="center" wrapText="1"/>
      <protection hidden="1"/>
    </xf>
    <xf numFmtId="0" fontId="2" fillId="0" borderId="15" xfId="0" applyFont="1" applyFill="1" applyBorder="1" applyAlignment="1" applyProtection="1">
      <alignment horizontal="center" vertical="center" wrapText="1"/>
      <protection hidden="1"/>
    </xf>
    <xf numFmtId="4" fontId="2" fillId="0" borderId="5" xfId="0" applyNumberFormat="1" applyFont="1" applyFill="1" applyBorder="1" applyAlignment="1" applyProtection="1">
      <alignment horizontal="center" vertical="center"/>
      <protection hidden="1"/>
    </xf>
    <xf numFmtId="4" fontId="2" fillId="0" borderId="12" xfId="0" applyNumberFormat="1" applyFont="1" applyFill="1" applyBorder="1" applyAlignment="1" applyProtection="1">
      <alignment horizontal="center" vertical="center"/>
      <protection hidden="1"/>
    </xf>
    <xf numFmtId="4" fontId="13" fillId="0" borderId="5" xfId="0" applyNumberFormat="1" applyFont="1" applyFill="1" applyBorder="1" applyAlignment="1" applyProtection="1">
      <alignment horizontal="center" vertical="center"/>
      <protection hidden="1"/>
    </xf>
    <xf numFmtId="4" fontId="13" fillId="0" borderId="12" xfId="0" applyNumberFormat="1" applyFont="1" applyFill="1" applyBorder="1" applyAlignment="1" applyProtection="1">
      <alignment horizontal="center" vertical="center"/>
      <protection hidden="1"/>
    </xf>
    <xf numFmtId="0" fontId="2" fillId="0" borderId="5" xfId="0" applyFont="1" applyFill="1" applyBorder="1" applyAlignment="1" applyProtection="1">
      <alignment horizontal="center" vertical="center"/>
      <protection hidden="1"/>
    </xf>
    <xf numFmtId="4" fontId="19" fillId="0" borderId="3" xfId="0" applyNumberFormat="1" applyFont="1" applyFill="1" applyBorder="1" applyAlignment="1" applyProtection="1">
      <alignment horizontal="center" vertical="center" wrapText="1"/>
      <protection hidden="1"/>
    </xf>
    <xf numFmtId="2" fontId="19" fillId="0" borderId="3" xfId="0" applyNumberFormat="1" applyFont="1" applyBorder="1" applyAlignment="1">
      <alignment horizontal="center" vertical="center" wrapText="1"/>
    </xf>
    <xf numFmtId="0" fontId="19" fillId="0" borderId="3" xfId="0" applyFont="1" applyBorder="1" applyAlignment="1">
      <alignment horizontal="center" vertical="center" wrapText="1"/>
    </xf>
    <xf numFmtId="2" fontId="4" fillId="0" borderId="3" xfId="0" applyNumberFormat="1" applyFont="1" applyBorder="1" applyAlignment="1">
      <alignment horizontal="center" vertical="center" wrapText="1"/>
    </xf>
    <xf numFmtId="172" fontId="4" fillId="0" borderId="3" xfId="0" applyNumberFormat="1" applyFont="1" applyFill="1" applyBorder="1" applyAlignment="1" applyProtection="1">
      <alignment horizontal="center" vertical="center" wrapText="1"/>
      <protection hidden="1"/>
    </xf>
    <xf numFmtId="172" fontId="4" fillId="0" borderId="4" xfId="0" applyNumberFormat="1" applyFont="1" applyFill="1" applyBorder="1" applyAlignment="1" applyProtection="1">
      <alignment horizontal="center" vertical="center" wrapText="1"/>
      <protection hidden="1"/>
    </xf>
    <xf numFmtId="172" fontId="4" fillId="0" borderId="7" xfId="0" applyNumberFormat="1" applyFont="1" applyFill="1" applyBorder="1" applyAlignment="1" applyProtection="1">
      <alignment horizontal="center" vertical="center" wrapText="1"/>
      <protection hidden="1"/>
    </xf>
    <xf numFmtId="2" fontId="19" fillId="0" borderId="5" xfId="0" applyNumberFormat="1" applyFont="1" applyBorder="1" applyAlignment="1">
      <alignment horizontal="center" vertical="center" wrapText="1"/>
    </xf>
    <xf numFmtId="2" fontId="19" fillId="0" borderId="12" xfId="0" applyNumberFormat="1" applyFont="1" applyBorder="1" applyAlignment="1">
      <alignment horizontal="center" vertical="center" wrapText="1"/>
    </xf>
    <xf numFmtId="172" fontId="4" fillId="0" borderId="8" xfId="0" applyNumberFormat="1" applyFont="1" applyFill="1" applyBorder="1" applyAlignment="1" applyProtection="1">
      <alignment horizontal="center" vertical="center" wrapText="1"/>
      <protection hidden="1"/>
    </xf>
    <xf numFmtId="172" fontId="4" fillId="0" borderId="22" xfId="0" applyNumberFormat="1" applyFont="1" applyFill="1" applyBorder="1" applyAlignment="1" applyProtection="1">
      <alignment horizontal="center" vertical="center" wrapText="1"/>
      <protection hidden="1"/>
    </xf>
    <xf numFmtId="172" fontId="4" fillId="0" borderId="13" xfId="0" applyNumberFormat="1" applyFont="1" applyFill="1" applyBorder="1" applyAlignment="1" applyProtection="1">
      <alignment horizontal="center" vertical="center" wrapText="1"/>
      <protection hidden="1"/>
    </xf>
    <xf numFmtId="172" fontId="4" fillId="0" borderId="15" xfId="0" applyNumberFormat="1" applyFont="1" applyFill="1" applyBorder="1" applyAlignment="1" applyProtection="1">
      <alignment horizontal="center" vertical="center" wrapText="1"/>
      <protection hidden="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15" xfId="0" applyFont="1" applyBorder="1" applyAlignment="1">
      <alignment horizontal="center" vertical="center" wrapText="1"/>
    </xf>
    <xf numFmtId="2" fontId="19" fillId="0" borderId="10" xfId="0" applyNumberFormat="1" applyFont="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22" xfId="0" applyFont="1" applyFill="1" applyBorder="1" applyAlignment="1">
      <alignment horizontal="center" vertical="center" wrapText="1"/>
    </xf>
    <xf numFmtId="0" fontId="19" fillId="0" borderId="13"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9" fillId="0" borderId="15" xfId="0" applyFont="1" applyFill="1" applyBorder="1" applyAlignment="1">
      <alignment horizontal="center" vertical="center" wrapText="1"/>
    </xf>
    <xf numFmtId="2" fontId="4" fillId="0" borderId="8" xfId="0" applyNumberFormat="1" applyFont="1" applyBorder="1" applyAlignment="1">
      <alignment horizontal="center" vertical="center" wrapText="1"/>
    </xf>
    <xf numFmtId="2" fontId="4" fillId="0" borderId="9" xfId="0" applyNumberFormat="1" applyFont="1" applyBorder="1" applyAlignment="1">
      <alignment horizontal="center" vertical="center" wrapText="1"/>
    </xf>
    <xf numFmtId="2" fontId="4" fillId="0" borderId="22" xfId="0" applyNumberFormat="1" applyFont="1" applyBorder="1" applyAlignment="1">
      <alignment horizontal="center" vertical="center" wrapText="1"/>
    </xf>
    <xf numFmtId="2" fontId="4" fillId="0" borderId="13" xfId="0" applyNumberFormat="1" applyFont="1" applyBorder="1" applyAlignment="1">
      <alignment horizontal="center" vertical="center" wrapText="1"/>
    </xf>
    <xf numFmtId="2" fontId="4" fillId="0" borderId="14" xfId="0" applyNumberFormat="1" applyFont="1" applyBorder="1" applyAlignment="1">
      <alignment horizontal="center" vertical="center" wrapText="1"/>
    </xf>
    <xf numFmtId="2" fontId="4" fillId="0" borderId="15" xfId="0" applyNumberFormat="1" applyFont="1" applyBorder="1" applyAlignment="1">
      <alignment horizontal="center" vertical="center" wrapText="1"/>
    </xf>
    <xf numFmtId="0" fontId="19" fillId="2" borderId="83" xfId="0" applyFont="1" applyFill="1" applyBorder="1" applyAlignment="1">
      <alignment horizontal="center" vertical="center" wrapText="1"/>
    </xf>
    <xf numFmtId="0" fontId="19" fillId="2" borderId="84" xfId="0" applyFont="1" applyFill="1" applyBorder="1" applyAlignment="1">
      <alignment horizontal="center" vertical="center" wrapText="1"/>
    </xf>
    <xf numFmtId="0" fontId="19" fillId="2" borderId="85" xfId="0" applyFont="1" applyFill="1" applyBorder="1" applyAlignment="1">
      <alignment horizontal="center" vertical="center" wrapText="1"/>
    </xf>
    <xf numFmtId="0" fontId="4" fillId="0" borderId="78" xfId="0" applyFont="1" applyBorder="1" applyAlignment="1">
      <alignment horizontal="left" vertical="center" wrapText="1"/>
    </xf>
    <xf numFmtId="0" fontId="4" fillId="0" borderId="79" xfId="0" applyFont="1" applyBorder="1" applyAlignment="1">
      <alignment horizontal="left" vertical="center" wrapText="1"/>
    </xf>
    <xf numFmtId="0" fontId="4" fillId="0" borderId="39" xfId="0" applyFont="1" applyBorder="1" applyAlignment="1">
      <alignment horizontal="left" vertical="center" wrapText="1"/>
    </xf>
    <xf numFmtId="0" fontId="4" fillId="0" borderId="1" xfId="0" applyFont="1" applyBorder="1" applyAlignment="1">
      <alignment horizontal="left" vertical="center" wrapText="1"/>
    </xf>
    <xf numFmtId="0" fontId="4" fillId="0" borderId="80" xfId="0" applyFont="1" applyBorder="1" applyAlignment="1">
      <alignment horizontal="left" vertical="center" wrapText="1"/>
    </xf>
    <xf numFmtId="0" fontId="4" fillId="0" borderId="81" xfId="0" applyFont="1" applyBorder="1" applyAlignment="1">
      <alignment horizontal="left" vertical="center" wrapText="1"/>
    </xf>
    <xf numFmtId="0" fontId="4" fillId="0" borderId="82" xfId="0" applyFont="1" applyBorder="1" applyAlignment="1">
      <alignment horizontal="left" vertical="center" wrapText="1"/>
    </xf>
    <xf numFmtId="3" fontId="19" fillId="0" borderId="4" xfId="0" applyNumberFormat="1" applyFont="1" applyFill="1" applyBorder="1" applyAlignment="1" applyProtection="1">
      <alignment horizontal="center" vertical="center"/>
      <protection hidden="1"/>
    </xf>
    <xf numFmtId="3" fontId="19" fillId="0" borderId="6" xfId="0" applyNumberFormat="1" applyFont="1" applyFill="1" applyBorder="1" applyAlignment="1" applyProtection="1">
      <alignment horizontal="center" vertical="center"/>
      <protection hidden="1"/>
    </xf>
    <xf numFmtId="3" fontId="19" fillId="0" borderId="7" xfId="0" applyNumberFormat="1" applyFont="1" applyFill="1" applyBorder="1" applyAlignment="1" applyProtection="1">
      <alignment horizontal="center" vertical="center"/>
      <protection hidden="1"/>
    </xf>
    <xf numFmtId="3" fontId="19" fillId="4" borderId="3" xfId="0" applyNumberFormat="1" applyFont="1" applyFill="1" applyBorder="1" applyAlignment="1" applyProtection="1">
      <alignment horizontal="center" vertical="center" wrapText="1"/>
      <protection hidden="1"/>
    </xf>
    <xf numFmtId="3" fontId="19" fillId="3" borderId="3" xfId="0" applyNumberFormat="1" applyFont="1" applyFill="1" applyBorder="1" applyAlignment="1" applyProtection="1">
      <alignment horizontal="center" vertical="center"/>
      <protection hidden="1"/>
    </xf>
    <xf numFmtId="3" fontId="19" fillId="3" borderId="4" xfId="0" applyNumberFormat="1" applyFont="1" applyFill="1" applyBorder="1" applyAlignment="1" applyProtection="1">
      <alignment horizontal="center" vertical="center"/>
      <protection hidden="1"/>
    </xf>
    <xf numFmtId="3" fontId="19" fillId="3" borderId="6" xfId="0" applyNumberFormat="1" applyFont="1" applyFill="1" applyBorder="1" applyAlignment="1" applyProtection="1">
      <alignment horizontal="center" vertical="center"/>
      <protection hidden="1"/>
    </xf>
    <xf numFmtId="3" fontId="19" fillId="3" borderId="7" xfId="0" applyNumberFormat="1" applyFont="1" applyFill="1" applyBorder="1" applyAlignment="1" applyProtection="1">
      <alignment horizontal="center" vertical="center"/>
      <protection hidden="1"/>
    </xf>
    <xf numFmtId="0" fontId="4" fillId="0" borderId="5"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172" fontId="4" fillId="0" borderId="8" xfId="0" applyNumberFormat="1" applyFont="1" applyBorder="1" applyAlignment="1" applyProtection="1">
      <alignment horizontal="center" vertical="center"/>
      <protection hidden="1"/>
    </xf>
    <xf numFmtId="172" fontId="4" fillId="0" borderId="22" xfId="0" applyNumberFormat="1" applyFont="1" applyBorder="1" applyAlignment="1" applyProtection="1">
      <alignment horizontal="center" vertical="center"/>
      <protection hidden="1"/>
    </xf>
    <xf numFmtId="172" fontId="4" fillId="0" borderId="13" xfId="0" applyNumberFormat="1" applyFont="1" applyBorder="1" applyAlignment="1" applyProtection="1">
      <alignment horizontal="center" vertical="center"/>
      <protection hidden="1"/>
    </xf>
    <xf numFmtId="172" fontId="4" fillId="0" borderId="15" xfId="0" applyNumberFormat="1" applyFont="1" applyBorder="1" applyAlignment="1" applyProtection="1">
      <alignment horizontal="center" vertical="center"/>
      <protection hidden="1"/>
    </xf>
    <xf numFmtId="3" fontId="4" fillId="0" borderId="5"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4" fontId="19" fillId="0" borderId="8" xfId="0" applyNumberFormat="1" applyFont="1" applyFill="1" applyBorder="1" applyAlignment="1" applyProtection="1">
      <alignment horizontal="center" vertical="center" wrapText="1"/>
      <protection hidden="1"/>
    </xf>
    <xf numFmtId="4" fontId="19" fillId="0" borderId="9" xfId="0" applyNumberFormat="1" applyFont="1" applyFill="1" applyBorder="1" applyAlignment="1" applyProtection="1">
      <alignment horizontal="center" vertical="center" wrapText="1"/>
      <protection hidden="1"/>
    </xf>
    <xf numFmtId="4" fontId="19" fillId="0" borderId="22" xfId="0" applyNumberFormat="1" applyFont="1" applyFill="1" applyBorder="1" applyAlignment="1" applyProtection="1">
      <alignment horizontal="center" vertical="center" wrapText="1"/>
      <protection hidden="1"/>
    </xf>
    <xf numFmtId="4" fontId="19" fillId="0" borderId="13" xfId="0" applyNumberFormat="1" applyFont="1" applyFill="1" applyBorder="1" applyAlignment="1" applyProtection="1">
      <alignment horizontal="center" vertical="center" wrapText="1"/>
      <protection hidden="1"/>
    </xf>
    <xf numFmtId="4" fontId="19" fillId="0" borderId="14" xfId="0" applyNumberFormat="1" applyFont="1" applyFill="1" applyBorder="1" applyAlignment="1" applyProtection="1">
      <alignment horizontal="center" vertical="center" wrapText="1"/>
      <protection hidden="1"/>
    </xf>
    <xf numFmtId="4" fontId="19" fillId="0" borderId="15" xfId="0" applyNumberFormat="1" applyFont="1" applyFill="1" applyBorder="1" applyAlignment="1" applyProtection="1">
      <alignment horizontal="center" vertical="center" wrapText="1"/>
      <protection hidden="1"/>
    </xf>
    <xf numFmtId="0" fontId="4" fillId="0" borderId="4" xfId="0" applyFont="1" applyFill="1" applyBorder="1" applyAlignment="1" applyProtection="1">
      <alignment horizontal="center" vertical="center" wrapText="1"/>
      <protection hidden="1"/>
    </xf>
    <xf numFmtId="0" fontId="4" fillId="0" borderId="7" xfId="0" applyFont="1" applyFill="1" applyBorder="1" applyAlignment="1" applyProtection="1">
      <alignment horizontal="center" vertical="center" wrapText="1"/>
      <protection hidden="1"/>
    </xf>
    <xf numFmtId="172" fontId="4" fillId="0" borderId="3" xfId="0" applyNumberFormat="1" applyFont="1" applyBorder="1" applyAlignment="1" applyProtection="1">
      <alignment horizontal="center" vertical="center"/>
      <protection hidden="1"/>
    </xf>
    <xf numFmtId="0" fontId="4" fillId="0" borderId="12" xfId="0" applyNumberFormat="1" applyFont="1" applyFill="1" applyBorder="1" applyAlignment="1" applyProtection="1">
      <alignment horizontal="center" vertical="center" wrapText="1"/>
      <protection hidden="1"/>
    </xf>
    <xf numFmtId="0" fontId="4" fillId="0" borderId="5" xfId="0" applyNumberFormat="1" applyFont="1" applyFill="1" applyBorder="1" applyAlignment="1" applyProtection="1">
      <alignment horizontal="center" vertical="center"/>
      <protection hidden="1"/>
    </xf>
    <xf numFmtId="0" fontId="4" fillId="0" borderId="10" xfId="0" applyNumberFormat="1" applyFont="1" applyFill="1" applyBorder="1" applyAlignment="1" applyProtection="1">
      <alignment horizontal="center" vertical="center"/>
      <protection hidden="1"/>
    </xf>
    <xf numFmtId="0" fontId="4" fillId="0" borderId="12" xfId="0" applyNumberFormat="1" applyFont="1" applyFill="1" applyBorder="1" applyAlignment="1" applyProtection="1">
      <alignment horizontal="center" vertical="center"/>
      <protection hidden="1"/>
    </xf>
    <xf numFmtId="0" fontId="19" fillId="0" borderId="3" xfId="0" applyFont="1" applyBorder="1" applyAlignment="1" applyProtection="1">
      <alignment horizontal="left" vertical="center" wrapText="1"/>
      <protection hidden="1"/>
    </xf>
    <xf numFmtId="4" fontId="19" fillId="3" borderId="3" xfId="0" applyNumberFormat="1" applyFont="1" applyFill="1" applyBorder="1" applyAlignment="1" applyProtection="1">
      <alignment horizontal="center" vertical="center"/>
      <protection hidden="1"/>
    </xf>
    <xf numFmtId="2" fontId="4" fillId="0" borderId="3" xfId="0" applyNumberFormat="1" applyFont="1" applyBorder="1" applyAlignment="1" applyProtection="1">
      <alignment horizontal="center" vertical="center"/>
      <protection hidden="1"/>
    </xf>
    <xf numFmtId="0" fontId="19" fillId="11" borderId="9" xfId="0" applyFont="1" applyFill="1" applyBorder="1" applyAlignment="1" applyProtection="1">
      <alignment horizontal="center" vertical="center" wrapText="1"/>
      <protection hidden="1"/>
    </xf>
    <xf numFmtId="0" fontId="19" fillId="11" borderId="22" xfId="0" applyFont="1" applyFill="1" applyBorder="1" applyAlignment="1" applyProtection="1">
      <alignment horizontal="center" vertical="center" wrapText="1"/>
      <protection hidden="1"/>
    </xf>
    <xf numFmtId="0" fontId="19" fillId="11" borderId="11" xfId="0" applyFont="1" applyFill="1" applyBorder="1" applyAlignment="1" applyProtection="1">
      <alignment horizontal="center" vertical="center" wrapText="1"/>
      <protection hidden="1"/>
    </xf>
    <xf numFmtId="0" fontId="19" fillId="11" borderId="0" xfId="0" applyFont="1" applyFill="1" applyBorder="1" applyAlignment="1" applyProtection="1">
      <alignment horizontal="center" vertical="center" wrapText="1"/>
      <protection hidden="1"/>
    </xf>
    <xf numFmtId="0" fontId="19" fillId="11" borderId="32" xfId="0" applyFont="1" applyFill="1" applyBorder="1" applyAlignment="1" applyProtection="1">
      <alignment horizontal="center" vertical="center" wrapText="1"/>
      <protection hidden="1"/>
    </xf>
    <xf numFmtId="0" fontId="19" fillId="11" borderId="13" xfId="0" applyFont="1" applyFill="1" applyBorder="1" applyAlignment="1" applyProtection="1">
      <alignment horizontal="center" vertical="center" wrapText="1"/>
      <protection hidden="1"/>
    </xf>
    <xf numFmtId="0" fontId="19" fillId="11" borderId="14" xfId="0" applyFont="1" applyFill="1" applyBorder="1" applyAlignment="1" applyProtection="1">
      <alignment horizontal="center" vertical="center" wrapText="1"/>
      <protection hidden="1"/>
    </xf>
    <xf numFmtId="0" fontId="19" fillId="11" borderId="15" xfId="0" applyFont="1" applyFill="1" applyBorder="1" applyAlignment="1" applyProtection="1">
      <alignment horizontal="center" vertical="center" wrapText="1"/>
      <protection hidden="1"/>
    </xf>
    <xf numFmtId="2" fontId="4" fillId="0" borderId="5" xfId="0" applyNumberFormat="1" applyFont="1" applyBorder="1" applyAlignment="1" applyProtection="1">
      <alignment horizontal="center" vertical="center"/>
      <protection hidden="1"/>
    </xf>
    <xf numFmtId="2" fontId="4" fillId="0" borderId="10" xfId="0" applyNumberFormat="1" applyFont="1" applyBorder="1" applyAlignment="1" applyProtection="1">
      <alignment horizontal="center" vertical="center"/>
      <protection hidden="1"/>
    </xf>
    <xf numFmtId="2" fontId="4" fillId="0" borderId="12" xfId="0" applyNumberFormat="1" applyFont="1" applyBorder="1" applyAlignment="1" applyProtection="1">
      <alignment horizontal="center" vertical="center"/>
      <protection hidden="1"/>
    </xf>
    <xf numFmtId="0" fontId="4" fillId="0" borderId="3" xfId="0" applyNumberFormat="1" applyFont="1" applyBorder="1" applyAlignment="1" applyProtection="1">
      <alignment horizontal="center" vertical="center" wrapText="1"/>
      <protection hidden="1"/>
    </xf>
    <xf numFmtId="0" fontId="4" fillId="0" borderId="3" xfId="0" applyFont="1" applyBorder="1" applyAlignment="1" applyProtection="1">
      <alignment horizontal="center" vertical="center" wrapText="1"/>
      <protection hidden="1"/>
    </xf>
    <xf numFmtId="0" fontId="9" fillId="0" borderId="38" xfId="0" applyFont="1" applyBorder="1" applyAlignment="1">
      <alignment horizontal="center" vertical="center" wrapText="1"/>
    </xf>
    <xf numFmtId="14" fontId="13" fillId="0" borderId="0" xfId="0" applyNumberFormat="1" applyFont="1" applyBorder="1" applyAlignment="1">
      <alignment horizontal="center"/>
    </xf>
    <xf numFmtId="0" fontId="19" fillId="0" borderId="4" xfId="0" applyFont="1" applyBorder="1" applyAlignment="1" applyProtection="1">
      <alignment horizontal="left" vertical="center"/>
      <protection hidden="1"/>
    </xf>
    <xf numFmtId="0" fontId="19" fillId="0" borderId="6" xfId="0" applyFont="1" applyBorder="1" applyAlignment="1" applyProtection="1">
      <alignment horizontal="left" vertical="center"/>
      <protection hidden="1"/>
    </xf>
    <xf numFmtId="0" fontId="19" fillId="0" borderId="7" xfId="0" applyFont="1" applyBorder="1" applyAlignment="1" applyProtection="1">
      <alignment horizontal="left" vertical="center"/>
      <protection hidden="1"/>
    </xf>
    <xf numFmtId="0" fontId="19" fillId="4" borderId="3" xfId="0" applyFont="1" applyFill="1" applyBorder="1" applyAlignment="1">
      <alignment horizontal="left" vertical="center" wrapText="1"/>
    </xf>
    <xf numFmtId="2" fontId="19" fillId="0" borderId="3" xfId="0" applyNumberFormat="1" applyFont="1" applyFill="1" applyBorder="1" applyAlignment="1">
      <alignment horizontal="center" vertical="center" wrapText="1"/>
    </xf>
    <xf numFmtId="4" fontId="19" fillId="0" borderId="10" xfId="0" applyNumberFormat="1" applyFont="1" applyFill="1" applyBorder="1" applyAlignment="1">
      <alignment horizontal="center" vertical="center"/>
    </xf>
    <xf numFmtId="0" fontId="19" fillId="4" borderId="3" xfId="0" applyFont="1" applyFill="1" applyBorder="1" applyAlignment="1">
      <alignment horizontal="left"/>
    </xf>
    <xf numFmtId="3" fontId="4" fillId="0" borderId="3" xfId="0" applyNumberFormat="1" applyFont="1" applyBorder="1" applyAlignment="1">
      <alignment horizontal="center" vertical="center"/>
    </xf>
    <xf numFmtId="0" fontId="19"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19" fillId="0" borderId="4" xfId="0" applyFont="1" applyBorder="1" applyAlignment="1">
      <alignment horizontal="left" vertical="center"/>
    </xf>
    <xf numFmtId="0" fontId="19" fillId="0" borderId="6" xfId="0" applyFont="1" applyBorder="1" applyAlignment="1">
      <alignment horizontal="left" vertical="center"/>
    </xf>
    <xf numFmtId="0" fontId="19" fillId="0" borderId="7" xfId="0" applyFont="1" applyBorder="1" applyAlignment="1">
      <alignment horizontal="left" vertical="center"/>
    </xf>
    <xf numFmtId="4" fontId="19" fillId="0" borderId="5" xfId="0" applyNumberFormat="1" applyFont="1" applyFill="1" applyBorder="1" applyAlignment="1">
      <alignment horizontal="center" vertical="center" wrapText="1"/>
    </xf>
    <xf numFmtId="4" fontId="19" fillId="0" borderId="12" xfId="0" applyNumberFormat="1" applyFont="1" applyFill="1" applyBorder="1" applyAlignment="1">
      <alignment horizontal="center" vertical="center" wrapText="1"/>
    </xf>
    <xf numFmtId="4" fontId="19" fillId="0" borderId="6" xfId="0" applyNumberFormat="1" applyFont="1" applyFill="1" applyBorder="1" applyAlignment="1">
      <alignment horizontal="center" vertical="center"/>
    </xf>
    <xf numFmtId="172" fontId="19" fillId="4" borderId="3" xfId="0" applyNumberFormat="1" applyFont="1" applyFill="1" applyBorder="1" applyAlignment="1">
      <alignment horizontal="center" vertical="center"/>
    </xf>
    <xf numFmtId="0" fontId="2" fillId="0" borderId="4" xfId="0" applyFont="1" applyBorder="1" applyAlignment="1">
      <alignment horizontal="left" vertical="center"/>
    </xf>
    <xf numFmtId="0" fontId="2" fillId="0" borderId="6" xfId="0" applyFont="1" applyBorder="1" applyAlignment="1">
      <alignment horizontal="left" vertical="center"/>
    </xf>
    <xf numFmtId="0" fontId="2" fillId="0" borderId="7" xfId="0" applyFont="1" applyBorder="1" applyAlignment="1">
      <alignment horizontal="left" vertical="center"/>
    </xf>
    <xf numFmtId="4" fontId="13" fillId="0" borderId="3"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0" fontId="4" fillId="0" borderId="3" xfId="0" applyFont="1" applyFill="1" applyBorder="1" applyAlignment="1">
      <alignment horizontal="center" wrapText="1"/>
    </xf>
    <xf numFmtId="4" fontId="4" fillId="0" borderId="11" xfId="0" applyNumberFormat="1" applyFont="1" applyFill="1" applyBorder="1" applyAlignment="1">
      <alignment horizontal="center" vertical="center" wrapText="1"/>
    </xf>
    <xf numFmtId="4" fontId="4" fillId="0" borderId="0" xfId="0" applyNumberFormat="1" applyFont="1" applyFill="1" applyBorder="1" applyAlignment="1">
      <alignment horizontal="center" vertical="center" wrapText="1"/>
    </xf>
    <xf numFmtId="4" fontId="4" fillId="0" borderId="32" xfId="0" applyNumberFormat="1" applyFont="1" applyFill="1" applyBorder="1" applyAlignment="1">
      <alignment horizontal="center" vertical="center" wrapText="1"/>
    </xf>
    <xf numFmtId="4" fontId="13" fillId="0" borderId="5" xfId="0" applyNumberFormat="1" applyFont="1" applyFill="1" applyBorder="1" applyAlignment="1">
      <alignment horizontal="center" vertical="center"/>
    </xf>
    <xf numFmtId="4" fontId="13" fillId="0" borderId="10"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0" fontId="13" fillId="0" borderId="10" xfId="0" applyFont="1" applyBorder="1" applyAlignment="1">
      <alignment horizontal="center" vertical="center" wrapText="1"/>
    </xf>
    <xf numFmtId="0" fontId="13" fillId="0" borderId="12" xfId="0" applyFont="1" applyBorder="1" applyAlignment="1">
      <alignment horizontal="center" vertical="center" wrapText="1"/>
    </xf>
    <xf numFmtId="2" fontId="19" fillId="0" borderId="5" xfId="0" applyNumberFormat="1" applyFont="1" applyFill="1" applyBorder="1" applyAlignment="1">
      <alignment horizontal="center" vertical="center" wrapText="1"/>
    </xf>
    <xf numFmtId="2" fontId="19" fillId="0" borderId="10" xfId="0" applyNumberFormat="1" applyFont="1" applyFill="1" applyBorder="1" applyAlignment="1">
      <alignment horizontal="center" vertical="center" wrapText="1"/>
    </xf>
    <xf numFmtId="2" fontId="19" fillId="0" borderId="12" xfId="0" applyNumberFormat="1" applyFont="1" applyFill="1" applyBorder="1" applyAlignment="1">
      <alignment horizontal="center" vertical="center" wrapText="1"/>
    </xf>
    <xf numFmtId="0" fontId="4" fillId="0" borderId="5" xfId="0" applyFont="1" applyFill="1" applyBorder="1" applyAlignment="1">
      <alignment horizontal="center" wrapText="1"/>
    </xf>
    <xf numFmtId="0" fontId="4" fillId="0" borderId="10" xfId="0" applyFont="1" applyFill="1" applyBorder="1" applyAlignment="1">
      <alignment horizontal="center" wrapText="1"/>
    </xf>
    <xf numFmtId="0" fontId="4" fillId="0" borderId="12" xfId="0" applyFont="1" applyFill="1" applyBorder="1" applyAlignment="1">
      <alignment horizontal="center" wrapText="1"/>
    </xf>
    <xf numFmtId="0" fontId="4" fillId="0" borderId="16" xfId="0" applyFont="1" applyFill="1" applyBorder="1" applyAlignment="1">
      <alignment horizontal="center" vertical="center" wrapText="1"/>
    </xf>
    <xf numFmtId="0" fontId="4" fillId="0" borderId="17" xfId="0" applyFont="1" applyFill="1" applyBorder="1" applyAlignment="1">
      <alignment horizontal="center" vertical="center" wrapText="1"/>
    </xf>
    <xf numFmtId="4" fontId="13" fillId="0" borderId="5" xfId="0" applyNumberFormat="1" applyFont="1" applyFill="1" applyBorder="1" applyAlignment="1">
      <alignment horizontal="center" vertical="center" wrapText="1"/>
    </xf>
    <xf numFmtId="4" fontId="13" fillId="0" borderId="10" xfId="0" applyNumberFormat="1" applyFont="1" applyFill="1" applyBorder="1" applyAlignment="1">
      <alignment horizontal="center" vertical="center" wrapText="1"/>
    </xf>
    <xf numFmtId="4" fontId="13" fillId="0" borderId="12" xfId="0" applyNumberFormat="1" applyFont="1" applyFill="1" applyBorder="1" applyAlignment="1">
      <alignment horizontal="center" vertical="center" wrapText="1"/>
    </xf>
    <xf numFmtId="49" fontId="4" fillId="0" borderId="3" xfId="0" applyNumberFormat="1" applyFont="1" applyFill="1" applyBorder="1" applyAlignment="1">
      <alignment horizontal="center" wrapText="1"/>
    </xf>
    <xf numFmtId="49" fontId="4" fillId="0" borderId="5" xfId="0" applyNumberFormat="1" applyFont="1" applyFill="1" applyBorder="1" applyAlignment="1">
      <alignment horizontal="center" wrapText="1"/>
    </xf>
    <xf numFmtId="49" fontId="4" fillId="0" borderId="12" xfId="0" applyNumberFormat="1" applyFont="1" applyFill="1" applyBorder="1" applyAlignment="1">
      <alignment horizontal="center" wrapText="1"/>
    </xf>
    <xf numFmtId="49" fontId="19" fillId="0" borderId="3" xfId="0" applyNumberFormat="1" applyFont="1" applyFill="1" applyBorder="1" applyAlignment="1">
      <alignment horizontal="center" vertical="center" wrapText="1"/>
    </xf>
    <xf numFmtId="4" fontId="13" fillId="0" borderId="22" xfId="0" applyNumberFormat="1" applyFont="1" applyFill="1" applyBorder="1" applyAlignment="1">
      <alignment horizontal="center" vertical="center"/>
    </xf>
    <xf numFmtId="4" fontId="13" fillId="0" borderId="15" xfId="0" applyNumberFormat="1" applyFont="1" applyFill="1" applyBorder="1" applyAlignment="1">
      <alignment horizontal="center" vertical="center"/>
    </xf>
    <xf numFmtId="173" fontId="13" fillId="2" borderId="3" xfId="0" applyNumberFormat="1" applyFont="1" applyFill="1" applyBorder="1" applyAlignment="1">
      <alignment horizontal="center" vertical="center" wrapText="1"/>
    </xf>
    <xf numFmtId="0" fontId="2" fillId="0" borderId="0" xfId="0" applyFont="1" applyBorder="1" applyAlignment="1">
      <alignment horizontal="right"/>
    </xf>
    <xf numFmtId="2" fontId="2" fillId="0" borderId="3" xfId="0" applyNumberFormat="1" applyFont="1" applyFill="1" applyBorder="1" applyAlignment="1">
      <alignment horizontal="left" vertical="center"/>
    </xf>
    <xf numFmtId="0" fontId="4" fillId="0" borderId="3" xfId="0" applyFont="1" applyBorder="1" applyAlignment="1" applyProtection="1">
      <alignment horizontal="left" vertical="center"/>
      <protection hidden="1"/>
    </xf>
    <xf numFmtId="0" fontId="4" fillId="5" borderId="4" xfId="0" applyFont="1" applyFill="1" applyBorder="1" applyAlignment="1" applyProtection="1">
      <alignment horizontal="center" vertical="center"/>
      <protection hidden="1"/>
    </xf>
    <xf numFmtId="0" fontId="4" fillId="5" borderId="7" xfId="0" applyFont="1" applyFill="1" applyBorder="1" applyAlignment="1" applyProtection="1">
      <alignment horizontal="center" vertical="center"/>
      <protection hidden="1"/>
    </xf>
    <xf numFmtId="0" fontId="19" fillId="2" borderId="3" xfId="0" applyFont="1" applyFill="1" applyBorder="1" applyAlignment="1" applyProtection="1">
      <alignment horizontal="center" vertical="center"/>
      <protection hidden="1"/>
    </xf>
    <xf numFmtId="0" fontId="2" fillId="0" borderId="4" xfId="0" applyNumberFormat="1" applyFont="1" applyFill="1" applyBorder="1" applyAlignment="1">
      <alignment horizontal="center" vertical="center"/>
    </xf>
    <xf numFmtId="0" fontId="2" fillId="0" borderId="6" xfId="0" applyNumberFormat="1" applyFont="1" applyFill="1" applyBorder="1" applyAlignment="1">
      <alignment horizontal="center" vertical="center"/>
    </xf>
    <xf numFmtId="0" fontId="2" fillId="0" borderId="7" xfId="0" applyNumberFormat="1" applyFont="1" applyFill="1" applyBorder="1" applyAlignment="1">
      <alignment horizontal="center" vertical="center"/>
    </xf>
    <xf numFmtId="172" fontId="4" fillId="0" borderId="4" xfId="0" applyNumberFormat="1" applyFont="1" applyFill="1" applyBorder="1" applyAlignment="1">
      <alignment horizontal="center" vertical="center"/>
    </xf>
    <xf numFmtId="172" fontId="4" fillId="0" borderId="7" xfId="0" applyNumberFormat="1" applyFont="1" applyFill="1" applyBorder="1" applyAlignment="1">
      <alignment horizontal="center" vertical="center"/>
    </xf>
    <xf numFmtId="3" fontId="4" fillId="0" borderId="4" xfId="0" applyNumberFormat="1" applyFont="1" applyFill="1" applyBorder="1" applyAlignment="1">
      <alignment horizontal="center" vertical="center"/>
    </xf>
    <xf numFmtId="3" fontId="4" fillId="0" borderId="7" xfId="0" applyNumberFormat="1" applyFont="1" applyFill="1" applyBorder="1" applyAlignment="1">
      <alignment horizontal="center" vertical="center"/>
    </xf>
    <xf numFmtId="3" fontId="2" fillId="0" borderId="4" xfId="0" applyNumberFormat="1" applyFont="1" applyFill="1" applyBorder="1" applyAlignment="1">
      <alignment horizontal="center" vertical="center"/>
    </xf>
    <xf numFmtId="3" fontId="2" fillId="0" borderId="7" xfId="0" applyNumberFormat="1" applyFont="1" applyFill="1" applyBorder="1" applyAlignment="1">
      <alignment horizontal="center" vertical="center"/>
    </xf>
    <xf numFmtId="0" fontId="4" fillId="0" borderId="32" xfId="0" applyNumberFormat="1" applyFont="1" applyBorder="1" applyAlignment="1">
      <alignment horizontal="left" vertical="center" wrapText="1"/>
    </xf>
    <xf numFmtId="3" fontId="2" fillId="0" borderId="8" xfId="0" applyNumberFormat="1" applyFont="1" applyFill="1" applyBorder="1" applyAlignment="1">
      <alignment horizontal="center" vertical="center"/>
    </xf>
    <xf numFmtId="3" fontId="2" fillId="0" borderId="22" xfId="0" applyNumberFormat="1" applyFont="1" applyFill="1" applyBorder="1" applyAlignment="1">
      <alignment horizontal="center" vertical="center"/>
    </xf>
    <xf numFmtId="3" fontId="4" fillId="0" borderId="8" xfId="0" applyNumberFormat="1" applyFont="1" applyFill="1" applyBorder="1" applyAlignment="1">
      <alignment horizontal="center" vertical="center"/>
    </xf>
    <xf numFmtId="3" fontId="4" fillId="0" borderId="22" xfId="0" applyNumberFormat="1" applyFont="1" applyFill="1" applyBorder="1" applyAlignment="1">
      <alignment horizontal="center" vertical="center"/>
    </xf>
    <xf numFmtId="3" fontId="2" fillId="0" borderId="7" xfId="0" applyNumberFormat="1" applyFont="1" applyFill="1" applyBorder="1"/>
    <xf numFmtId="0" fontId="2" fillId="0" borderId="10" xfId="0" applyFont="1" applyBorder="1" applyAlignment="1">
      <alignment horizontal="center" vertical="center"/>
    </xf>
    <xf numFmtId="0" fontId="2" fillId="0" borderId="12" xfId="0" applyFont="1" applyBorder="1" applyAlignment="1">
      <alignment horizontal="center" vertical="center"/>
    </xf>
    <xf numFmtId="2" fontId="4" fillId="0" borderId="8" xfId="0" applyNumberFormat="1" applyFont="1" applyFill="1" applyBorder="1" applyAlignment="1">
      <alignment horizontal="center" vertical="center"/>
    </xf>
    <xf numFmtId="2" fontId="4" fillId="0" borderId="22" xfId="0" applyNumberFormat="1" applyFont="1" applyFill="1" applyBorder="1" applyAlignment="1">
      <alignment horizontal="center" vertical="center"/>
    </xf>
    <xf numFmtId="14" fontId="19" fillId="0" borderId="14" xfId="0" applyNumberFormat="1" applyFont="1" applyBorder="1" applyAlignment="1" applyProtection="1">
      <alignment horizontal="center" vertical="center"/>
      <protection hidden="1"/>
    </xf>
    <xf numFmtId="0" fontId="4" fillId="0" borderId="38" xfId="3" applyNumberFormat="1" applyFont="1" applyFill="1" applyBorder="1" applyAlignment="1" applyProtection="1">
      <alignment horizontal="center" vertical="top"/>
    </xf>
    <xf numFmtId="14" fontId="4" fillId="0" borderId="14" xfId="0" applyNumberFormat="1" applyFont="1" applyBorder="1" applyAlignment="1">
      <alignment horizontal="center" vertical="center"/>
    </xf>
    <xf numFmtId="0" fontId="19" fillId="15" borderId="3" xfId="0" applyFont="1" applyFill="1" applyBorder="1" applyAlignment="1">
      <alignment horizontal="center" vertical="center" wrapText="1"/>
    </xf>
    <xf numFmtId="0" fontId="19" fillId="15" borderId="3" xfId="0" applyFont="1" applyFill="1" applyBorder="1" applyAlignment="1">
      <alignment horizontal="center" vertical="center"/>
    </xf>
    <xf numFmtId="0" fontId="4" fillId="11" borderId="3" xfId="0" applyNumberFormat="1" applyFont="1" applyFill="1" applyBorder="1" applyAlignment="1">
      <alignment horizontal="center" vertical="center" wrapText="1"/>
    </xf>
    <xf numFmtId="0" fontId="4" fillId="11" borderId="5" xfId="0" applyNumberFormat="1" applyFont="1" applyFill="1" applyBorder="1" applyAlignment="1">
      <alignment horizontal="center" vertical="center" wrapText="1"/>
    </xf>
    <xf numFmtId="0" fontId="4" fillId="0" borderId="26" xfId="0" applyFont="1" applyFill="1" applyBorder="1" applyAlignment="1">
      <alignment horizontal="left" vertical="center" wrapText="1"/>
    </xf>
    <xf numFmtId="0" fontId="4" fillId="0" borderId="68" xfId="0" applyFont="1" applyFill="1" applyBorder="1" applyAlignment="1">
      <alignment horizontal="left" vertical="center" wrapText="1"/>
    </xf>
    <xf numFmtId="0" fontId="4" fillId="0" borderId="5" xfId="0" applyFont="1" applyFill="1" applyBorder="1" applyAlignment="1">
      <alignment horizontal="left" vertical="top" wrapText="1"/>
    </xf>
    <xf numFmtId="0" fontId="4" fillId="0" borderId="10" xfId="0" applyFont="1" applyFill="1" applyBorder="1" applyAlignment="1">
      <alignment horizontal="left" vertical="top" wrapText="1"/>
    </xf>
    <xf numFmtId="0" fontId="4" fillId="0" borderId="12" xfId="0" applyFont="1" applyFill="1" applyBorder="1" applyAlignment="1">
      <alignment horizontal="left" vertical="top" wrapText="1"/>
    </xf>
    <xf numFmtId="0" fontId="2" fillId="0" borderId="10" xfId="0" applyNumberFormat="1" applyFont="1" applyFill="1" applyBorder="1" applyAlignment="1">
      <alignment horizontal="center" vertical="center"/>
    </xf>
    <xf numFmtId="0" fontId="19" fillId="0" borderId="14" xfId="0" applyFont="1" applyBorder="1" applyAlignment="1">
      <alignment horizontal="center" vertical="center"/>
    </xf>
    <xf numFmtId="0" fontId="4" fillId="5" borderId="3" xfId="0" applyFont="1" applyFill="1" applyBorder="1" applyAlignment="1" applyProtection="1">
      <alignment horizontal="center" vertical="center"/>
      <protection hidden="1"/>
    </xf>
    <xf numFmtId="0" fontId="13" fillId="4" borderId="3" xfId="0" applyFont="1" applyFill="1" applyBorder="1" applyAlignment="1" applyProtection="1">
      <alignment horizontal="center" vertical="center" wrapText="1"/>
      <protection hidden="1"/>
    </xf>
    <xf numFmtId="0" fontId="13" fillId="4" borderId="5" xfId="0" applyFont="1" applyFill="1" applyBorder="1" applyAlignment="1" applyProtection="1">
      <alignment horizontal="center" vertical="center" wrapText="1"/>
      <protection hidden="1"/>
    </xf>
    <xf numFmtId="0" fontId="13" fillId="4" borderId="10" xfId="0" applyFont="1" applyFill="1" applyBorder="1" applyAlignment="1" applyProtection="1">
      <alignment horizontal="center" vertical="center" wrapText="1"/>
      <protection hidden="1"/>
    </xf>
    <xf numFmtId="0" fontId="13" fillId="4" borderId="12"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left" vertical="center" wrapText="1"/>
      <protection hidden="1"/>
    </xf>
    <xf numFmtId="0" fontId="2" fillId="0" borderId="10" xfId="0" applyFont="1" applyFill="1" applyBorder="1" applyAlignment="1" applyProtection="1">
      <alignment horizontal="left" vertical="center" wrapText="1"/>
      <protection hidden="1"/>
    </xf>
    <xf numFmtId="0" fontId="2" fillId="0" borderId="12" xfId="0" applyFont="1" applyFill="1" applyBorder="1" applyAlignment="1" applyProtection="1">
      <alignment horizontal="left" vertical="center" wrapText="1"/>
      <protection hidden="1"/>
    </xf>
    <xf numFmtId="2" fontId="4" fillId="0" borderId="5" xfId="0" applyNumberFormat="1" applyFont="1" applyFill="1" applyBorder="1" applyAlignment="1">
      <alignment horizontal="center" vertical="center" wrapText="1"/>
    </xf>
    <xf numFmtId="2" fontId="4" fillId="0" borderId="12" xfId="0" applyNumberFormat="1" applyFont="1" applyFill="1" applyBorder="1" applyAlignment="1">
      <alignment horizontal="center" vertical="center" wrapText="1"/>
    </xf>
    <xf numFmtId="1" fontId="4" fillId="0" borderId="5" xfId="0" applyNumberFormat="1" applyFont="1" applyFill="1" applyBorder="1" applyAlignment="1">
      <alignment horizontal="center" vertical="center" wrapText="1"/>
    </xf>
    <xf numFmtId="1" fontId="4" fillId="0" borderId="12" xfId="0" applyNumberFormat="1" applyFont="1" applyFill="1" applyBorder="1" applyAlignment="1">
      <alignment horizontal="center" vertical="center" wrapText="1"/>
    </xf>
    <xf numFmtId="174" fontId="4" fillId="0" borderId="5" xfId="0" applyNumberFormat="1" applyFont="1" applyFill="1" applyBorder="1" applyAlignment="1">
      <alignment horizontal="center" vertical="center" wrapText="1"/>
    </xf>
    <xf numFmtId="174" fontId="4" fillId="0" borderId="12" xfId="0" applyNumberFormat="1" applyFont="1" applyFill="1" applyBorder="1" applyAlignment="1">
      <alignment horizontal="center" vertical="center" wrapText="1"/>
    </xf>
    <xf numFmtId="0" fontId="4" fillId="0" borderId="6" xfId="0" applyFont="1" applyBorder="1" applyAlignment="1">
      <alignment horizontal="center" vertical="center"/>
    </xf>
    <xf numFmtId="3" fontId="13" fillId="0" borderId="3" xfId="0" applyNumberFormat="1" applyFont="1" applyFill="1" applyBorder="1" applyAlignment="1">
      <alignment horizontal="center" vertical="center" wrapText="1"/>
    </xf>
    <xf numFmtId="0" fontId="19" fillId="0" borderId="3" xfId="3" applyFont="1" applyBorder="1" applyAlignment="1">
      <alignment horizontal="left" vertical="center" wrapText="1"/>
    </xf>
    <xf numFmtId="0" fontId="4" fillId="0" borderId="3" xfId="0" applyFont="1" applyFill="1" applyBorder="1" applyAlignment="1" applyProtection="1">
      <alignment horizontal="left" vertical="center"/>
      <protection hidden="1"/>
    </xf>
    <xf numFmtId="0" fontId="34" fillId="0" borderId="0" xfId="3" applyFont="1" applyAlignment="1">
      <alignment horizontal="left" vertical="center"/>
    </xf>
    <xf numFmtId="0" fontId="4" fillId="0" borderId="5" xfId="0" applyFont="1" applyBorder="1" applyAlignment="1">
      <alignment vertical="center" wrapText="1"/>
    </xf>
    <xf numFmtId="0" fontId="4" fillId="0" borderId="10" xfId="0" applyFont="1" applyBorder="1" applyAlignment="1">
      <alignment vertical="center" wrapText="1"/>
    </xf>
    <xf numFmtId="0" fontId="4" fillId="0" borderId="12" xfId="0" applyFont="1" applyBorder="1" applyAlignment="1">
      <alignment vertical="center" wrapText="1"/>
    </xf>
    <xf numFmtId="2" fontId="4" fillId="0" borderId="5" xfId="0" applyNumberFormat="1" applyFont="1" applyBorder="1" applyAlignment="1">
      <alignment horizontal="center" vertical="center"/>
    </xf>
    <xf numFmtId="2" fontId="4" fillId="0" borderId="10" xfId="0" applyNumberFormat="1" applyFont="1" applyBorder="1" applyAlignment="1">
      <alignment horizontal="center" vertical="center"/>
    </xf>
    <xf numFmtId="2" fontId="4" fillId="0" borderId="12" xfId="0" applyNumberFormat="1" applyFont="1" applyBorder="1" applyAlignment="1">
      <alignment horizontal="center" vertical="center"/>
    </xf>
    <xf numFmtId="174" fontId="4" fillId="0" borderId="5" xfId="0" applyNumberFormat="1" applyFont="1" applyBorder="1" applyAlignment="1">
      <alignment horizontal="center" vertical="center"/>
    </xf>
    <xf numFmtId="174" fontId="4" fillId="0" borderId="10" xfId="0" applyNumberFormat="1" applyFont="1" applyBorder="1" applyAlignment="1">
      <alignment horizontal="center" vertical="center"/>
    </xf>
    <xf numFmtId="174" fontId="4" fillId="0" borderId="12" xfId="0" applyNumberFormat="1" applyFont="1" applyBorder="1" applyAlignment="1">
      <alignment horizontal="center" vertical="center"/>
    </xf>
    <xf numFmtId="0" fontId="4" fillId="0" borderId="3" xfId="0" applyFont="1" applyBorder="1" applyAlignment="1">
      <alignment vertical="center" wrapText="1"/>
    </xf>
    <xf numFmtId="174" fontId="4" fillId="0" borderId="3" xfId="0" applyNumberFormat="1" applyFont="1" applyBorder="1" applyAlignment="1">
      <alignment horizontal="center" vertical="center"/>
    </xf>
    <xf numFmtId="3" fontId="47" fillId="0" borderId="4" xfId="0" applyNumberFormat="1" applyFont="1" applyBorder="1" applyAlignment="1">
      <alignment horizontal="center" vertical="center"/>
    </xf>
    <xf numFmtId="3" fontId="47" fillId="0" borderId="6" xfId="0" applyNumberFormat="1" applyFont="1" applyBorder="1" applyAlignment="1">
      <alignment horizontal="center" vertical="center"/>
    </xf>
    <xf numFmtId="3" fontId="47" fillId="0" borderId="7" xfId="0" applyNumberFormat="1" applyFont="1" applyBorder="1" applyAlignment="1">
      <alignment horizontal="center" vertical="center"/>
    </xf>
    <xf numFmtId="0" fontId="40" fillId="2" borderId="9" xfId="0" applyFont="1" applyFill="1" applyBorder="1" applyAlignment="1">
      <alignment horizontal="center" vertical="center" wrapText="1"/>
    </xf>
    <xf numFmtId="0" fontId="40" fillId="2" borderId="22" xfId="0" applyFont="1" applyFill="1" applyBorder="1" applyAlignment="1">
      <alignment horizontal="center" vertical="center" wrapText="1"/>
    </xf>
    <xf numFmtId="182" fontId="46" fillId="0" borderId="4" xfId="0" applyNumberFormat="1" applyFont="1" applyFill="1" applyBorder="1" applyAlignment="1">
      <alignment horizontal="center" vertical="center"/>
    </xf>
    <xf numFmtId="182" fontId="46" fillId="0" borderId="6" xfId="0" applyNumberFormat="1" applyFont="1" applyFill="1" applyBorder="1" applyAlignment="1">
      <alignment horizontal="center" vertical="center"/>
    </xf>
    <xf numFmtId="182" fontId="46" fillId="0" borderId="7" xfId="0" applyNumberFormat="1" applyFont="1" applyFill="1" applyBorder="1" applyAlignment="1">
      <alignment horizontal="center" vertical="center"/>
    </xf>
    <xf numFmtId="0" fontId="13" fillId="3" borderId="3" xfId="0" applyFont="1" applyFill="1" applyBorder="1" applyAlignment="1">
      <alignment horizontal="center" vertical="center" wrapText="1"/>
    </xf>
    <xf numFmtId="0" fontId="2" fillId="3" borderId="3" xfId="0" applyFont="1" applyFill="1" applyBorder="1" applyAlignment="1">
      <alignment horizontal="left" vertical="center" wrapText="1"/>
    </xf>
    <xf numFmtId="0" fontId="2" fillId="3" borderId="3" xfId="0" applyFont="1" applyFill="1" applyBorder="1" applyAlignment="1">
      <alignment horizontal="center" vertical="center" wrapText="1"/>
    </xf>
    <xf numFmtId="0" fontId="49" fillId="0" borderId="8" xfId="0" applyFont="1" applyFill="1" applyBorder="1" applyAlignment="1">
      <alignment horizontal="center" vertical="center"/>
    </xf>
    <xf numFmtId="0" fontId="49" fillId="0" borderId="9" xfId="0" applyFont="1" applyFill="1" applyBorder="1" applyAlignment="1">
      <alignment horizontal="center" vertical="center"/>
    </xf>
    <xf numFmtId="0" fontId="49" fillId="0" borderId="22" xfId="0" applyFont="1" applyFill="1" applyBorder="1" applyAlignment="1">
      <alignment horizontal="center" vertical="center"/>
    </xf>
    <xf numFmtId="0" fontId="49" fillId="0" borderId="13" xfId="0" applyFont="1" applyFill="1" applyBorder="1" applyAlignment="1">
      <alignment horizontal="center" vertical="center"/>
    </xf>
    <xf numFmtId="0" fontId="49" fillId="0" borderId="14" xfId="0" applyFont="1" applyFill="1" applyBorder="1" applyAlignment="1">
      <alignment horizontal="center" vertical="center"/>
    </xf>
    <xf numFmtId="0" fontId="49" fillId="0" borderId="15" xfId="0" applyFont="1" applyFill="1" applyBorder="1" applyAlignment="1">
      <alignment horizontal="center" vertical="center"/>
    </xf>
    <xf numFmtId="3" fontId="2" fillId="0" borderId="6" xfId="0" applyNumberFormat="1" applyFont="1" applyFill="1" applyBorder="1" applyAlignment="1">
      <alignment horizontal="center" vertical="center"/>
    </xf>
    <xf numFmtId="3" fontId="46" fillId="0" borderId="4" xfId="0" applyNumberFormat="1" applyFont="1" applyFill="1" applyBorder="1" applyAlignment="1">
      <alignment horizontal="center" vertical="center"/>
    </xf>
    <xf numFmtId="3" fontId="46" fillId="0" borderId="6" xfId="0" applyNumberFormat="1" applyFont="1" applyFill="1" applyBorder="1" applyAlignment="1">
      <alignment horizontal="center" vertical="center"/>
    </xf>
    <xf numFmtId="3" fontId="46" fillId="0" borderId="7" xfId="0" applyNumberFormat="1" applyFont="1" applyFill="1" applyBorder="1" applyAlignment="1">
      <alignment horizontal="center" vertical="center"/>
    </xf>
    <xf numFmtId="0" fontId="49" fillId="0" borderId="11" xfId="0" applyFont="1" applyFill="1" applyBorder="1" applyAlignment="1">
      <alignment horizontal="center" vertical="center"/>
    </xf>
    <xf numFmtId="0" fontId="49" fillId="0" borderId="0" xfId="0" applyFont="1" applyFill="1" applyBorder="1" applyAlignment="1">
      <alignment horizontal="center" vertical="center"/>
    </xf>
    <xf numFmtId="0" fontId="49" fillId="0" borderId="32" xfId="0" applyFont="1" applyFill="1" applyBorder="1" applyAlignment="1">
      <alignment horizontal="center" vertical="center"/>
    </xf>
    <xf numFmtId="0" fontId="49" fillId="0" borderId="4" xfId="0" applyFont="1" applyFill="1" applyBorder="1" applyAlignment="1">
      <alignment horizontal="center" vertical="center"/>
    </xf>
    <xf numFmtId="0" fontId="49" fillId="0" borderId="6" xfId="0" applyFont="1" applyFill="1" applyBorder="1" applyAlignment="1">
      <alignment horizontal="center" vertical="center"/>
    </xf>
    <xf numFmtId="0" fontId="49" fillId="0" borderId="7" xfId="0" applyFont="1" applyFill="1" applyBorder="1" applyAlignment="1">
      <alignment horizontal="center" vertical="center"/>
    </xf>
    <xf numFmtId="0" fontId="4" fillId="5" borderId="6" xfId="0" applyFont="1" applyFill="1" applyBorder="1" applyAlignment="1" applyProtection="1">
      <alignment horizontal="center" vertical="center"/>
      <protection hidden="1"/>
    </xf>
    <xf numFmtId="0" fontId="4" fillId="16" borderId="11" xfId="0" applyFont="1" applyFill="1" applyBorder="1" applyAlignment="1">
      <alignment horizontal="center" vertical="center" wrapText="1"/>
    </xf>
    <xf numFmtId="0" fontId="4" fillId="16" borderId="0" xfId="0" applyFont="1" applyFill="1" applyBorder="1" applyAlignment="1">
      <alignment horizontal="center" vertical="center" wrapText="1"/>
    </xf>
    <xf numFmtId="0" fontId="4" fillId="16" borderId="32" xfId="0" applyFont="1" applyFill="1" applyBorder="1" applyAlignment="1">
      <alignment horizontal="center" vertical="center" wrapText="1"/>
    </xf>
    <xf numFmtId="0" fontId="34" fillId="16" borderId="13" xfId="3" applyFont="1" applyFill="1" applyBorder="1" applyAlignment="1">
      <alignment horizontal="center" vertical="center" wrapText="1"/>
    </xf>
    <xf numFmtId="0" fontId="34" fillId="16" borderId="14" xfId="3" applyFont="1" applyFill="1" applyBorder="1" applyAlignment="1">
      <alignment horizontal="center" vertical="center" wrapText="1"/>
    </xf>
    <xf numFmtId="0" fontId="34" fillId="16" borderId="14" xfId="3" applyFont="1" applyFill="1" applyBorder="1" applyAlignment="1">
      <alignment horizontal="center" vertical="center"/>
    </xf>
    <xf numFmtId="0" fontId="34" fillId="16" borderId="15" xfId="3" applyFont="1" applyFill="1" applyBorder="1" applyAlignment="1">
      <alignment horizontal="center" vertical="center"/>
    </xf>
    <xf numFmtId="14" fontId="13" fillId="0" borderId="0" xfId="0" applyNumberFormat="1" applyFont="1" applyBorder="1" applyAlignment="1">
      <alignment horizontal="center" vertical="center"/>
    </xf>
    <xf numFmtId="0" fontId="4" fillId="0" borderId="6" xfId="0" applyFont="1" applyFill="1" applyBorder="1" applyAlignment="1" applyProtection="1">
      <alignment horizontal="left" vertical="center" wrapText="1"/>
      <protection hidden="1"/>
    </xf>
    <xf numFmtId="0" fontId="4" fillId="0" borderId="6" xfId="0" applyNumberFormat="1" applyFont="1" applyFill="1" applyBorder="1" applyAlignment="1">
      <alignment horizontal="left" vertical="center" wrapText="1"/>
    </xf>
    <xf numFmtId="0" fontId="4" fillId="0" borderId="7" xfId="0" applyFont="1" applyFill="1" applyBorder="1" applyAlignment="1" applyProtection="1">
      <alignment vertical="center" wrapText="1"/>
      <protection hidden="1"/>
    </xf>
    <xf numFmtId="0" fontId="4" fillId="5" borderId="11" xfId="0" applyFont="1" applyFill="1" applyBorder="1" applyAlignment="1">
      <alignment horizontal="center" vertical="center"/>
    </xf>
    <xf numFmtId="0" fontId="4" fillId="5" borderId="32" xfId="0" applyFont="1" applyFill="1" applyBorder="1" applyAlignment="1">
      <alignment horizontal="center" vertical="center"/>
    </xf>
    <xf numFmtId="0" fontId="4" fillId="5" borderId="15" xfId="0" applyFont="1" applyFill="1" applyBorder="1" applyAlignment="1">
      <alignment horizontal="center" vertical="center"/>
    </xf>
    <xf numFmtId="14" fontId="13" fillId="0" borderId="34" xfId="0" applyNumberFormat="1" applyFont="1" applyBorder="1" applyAlignment="1">
      <alignment horizontal="center" vertical="center"/>
    </xf>
    <xf numFmtId="0" fontId="13" fillId="2" borderId="3" xfId="0" applyFont="1" applyFill="1" applyBorder="1" applyAlignment="1" applyProtection="1">
      <alignment horizontal="center" vertical="center" wrapText="1"/>
      <protection hidden="1"/>
    </xf>
    <xf numFmtId="0" fontId="2" fillId="0" borderId="3" xfId="0" applyFont="1" applyFill="1" applyBorder="1" applyAlignment="1" applyProtection="1">
      <alignment horizontal="left" vertical="center" wrapText="1"/>
      <protection hidden="1"/>
    </xf>
    <xf numFmtId="0" fontId="13" fillId="0" borderId="3" xfId="0" applyFont="1" applyFill="1" applyBorder="1" applyAlignment="1">
      <alignment horizontal="left" vertical="center"/>
    </xf>
    <xf numFmtId="3" fontId="4" fillId="0" borderId="3" xfId="0" applyNumberFormat="1" applyFont="1" applyFill="1" applyBorder="1" applyAlignment="1">
      <alignment horizontal="center" vertical="center" wrapText="1"/>
    </xf>
    <xf numFmtId="0" fontId="48" fillId="0" borderId="12" xfId="0" applyFont="1" applyFill="1" applyBorder="1" applyAlignment="1">
      <alignment horizontal="left" vertical="center"/>
    </xf>
    <xf numFmtId="0" fontId="48" fillId="0" borderId="3" xfId="0" applyFont="1" applyFill="1" applyBorder="1" applyAlignment="1">
      <alignment horizontal="left" vertical="center"/>
    </xf>
    <xf numFmtId="0" fontId="48" fillId="0" borderId="3" xfId="0" applyFont="1" applyFill="1" applyBorder="1" applyAlignment="1">
      <alignment horizontal="left" vertical="center" wrapText="1"/>
    </xf>
    <xf numFmtId="0" fontId="2" fillId="5" borderId="8" xfId="0" applyFont="1" applyFill="1" applyBorder="1" applyAlignment="1">
      <alignment horizontal="center" vertical="center"/>
    </xf>
    <xf numFmtId="0" fontId="2" fillId="5" borderId="22" xfId="0" applyFont="1" applyFill="1" applyBorder="1" applyAlignment="1">
      <alignment horizontal="center" vertical="center"/>
    </xf>
    <xf numFmtId="0" fontId="2" fillId="5" borderId="13" xfId="0" applyFont="1" applyFill="1" applyBorder="1" applyAlignment="1">
      <alignment horizontal="center" vertical="center"/>
    </xf>
    <xf numFmtId="0" fontId="2" fillId="5" borderId="15" xfId="0" applyFont="1" applyFill="1" applyBorder="1" applyAlignment="1">
      <alignment horizontal="center" vertical="center"/>
    </xf>
    <xf numFmtId="10" fontId="4" fillId="0" borderId="4" xfId="0" applyNumberFormat="1" applyFont="1" applyBorder="1" applyAlignment="1">
      <alignment horizontal="center" vertical="center"/>
    </xf>
    <xf numFmtId="10" fontId="4" fillId="0" borderId="7" xfId="0" applyNumberFormat="1" applyFont="1" applyBorder="1" applyAlignment="1">
      <alignment horizontal="center" vertical="center"/>
    </xf>
    <xf numFmtId="0" fontId="2" fillId="5" borderId="3" xfId="0" applyFont="1" applyFill="1" applyBorder="1" applyAlignment="1">
      <alignment horizontal="center" vertical="center"/>
    </xf>
    <xf numFmtId="0" fontId="2" fillId="5" borderId="8" xfId="0" applyFont="1" applyFill="1" applyBorder="1" applyAlignment="1">
      <alignment horizontal="center" vertical="center" wrapText="1"/>
    </xf>
    <xf numFmtId="0" fontId="2" fillId="5" borderId="22"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2" fillId="5" borderId="15" xfId="0" applyFont="1" applyFill="1" applyBorder="1" applyAlignment="1">
      <alignment horizontal="center" vertical="center" wrapText="1"/>
    </xf>
    <xf numFmtId="0" fontId="4" fillId="0" borderId="32" xfId="0" applyFont="1" applyBorder="1" applyAlignment="1">
      <alignment horizontal="center" vertical="center" wrapText="1"/>
    </xf>
    <xf numFmtId="0" fontId="19" fillId="0" borderId="8" xfId="0" applyFont="1" applyBorder="1" applyAlignment="1">
      <alignment horizontal="center" vertical="top" wrapText="1"/>
    </xf>
    <xf numFmtId="0" fontId="19" fillId="0" borderId="9" xfId="0" applyFont="1" applyBorder="1" applyAlignment="1">
      <alignment horizontal="center" vertical="top" wrapText="1"/>
    </xf>
    <xf numFmtId="0" fontId="19" fillId="0" borderId="22" xfId="0" applyFont="1" applyBorder="1" applyAlignment="1">
      <alignment horizontal="center" vertical="top" wrapText="1"/>
    </xf>
    <xf numFmtId="0" fontId="19" fillId="0" borderId="11" xfId="0" applyFont="1" applyBorder="1" applyAlignment="1">
      <alignment horizontal="center" vertical="top" wrapText="1"/>
    </xf>
    <xf numFmtId="0" fontId="19" fillId="0" borderId="0" xfId="0" applyFont="1" applyBorder="1" applyAlignment="1">
      <alignment horizontal="center" vertical="top" wrapText="1"/>
    </xf>
    <xf numFmtId="0" fontId="19" fillId="0" borderId="32" xfId="0" applyFont="1" applyBorder="1" applyAlignment="1">
      <alignment horizontal="center" vertical="top" wrapText="1"/>
    </xf>
    <xf numFmtId="0" fontId="19" fillId="0" borderId="13" xfId="0" applyFont="1" applyBorder="1" applyAlignment="1">
      <alignment horizontal="center" vertical="top" wrapText="1"/>
    </xf>
    <xf numFmtId="0" fontId="19" fillId="0" borderId="14" xfId="0" applyFont="1" applyBorder="1" applyAlignment="1">
      <alignment horizontal="center" vertical="top" wrapText="1"/>
    </xf>
    <xf numFmtId="0" fontId="19" fillId="0" borderId="15" xfId="0" applyFont="1" applyBorder="1" applyAlignment="1">
      <alignment horizontal="center" vertical="top" wrapText="1"/>
    </xf>
    <xf numFmtId="14" fontId="19" fillId="0" borderId="33" xfId="0" applyNumberFormat="1" applyFont="1" applyBorder="1" applyAlignment="1">
      <alignment horizontal="center"/>
    </xf>
    <xf numFmtId="0" fontId="4" fillId="0" borderId="8" xfId="0" applyFont="1" applyBorder="1" applyAlignment="1">
      <alignment horizontal="center"/>
    </xf>
    <xf numFmtId="0" fontId="4" fillId="0" borderId="11" xfId="0" applyFont="1" applyBorder="1" applyAlignment="1">
      <alignment horizontal="center"/>
    </xf>
    <xf numFmtId="0" fontId="4" fillId="0" borderId="13" xfId="0" applyFont="1" applyBorder="1" applyAlignment="1">
      <alignment horizontal="center"/>
    </xf>
    <xf numFmtId="0" fontId="19" fillId="0" borderId="5" xfId="0" applyNumberFormat="1" applyFont="1" applyBorder="1" applyAlignment="1">
      <alignment horizontal="center" vertical="center" wrapText="1"/>
    </xf>
    <xf numFmtId="0" fontId="19" fillId="0" borderId="12" xfId="0" applyNumberFormat="1" applyFont="1" applyBorder="1" applyAlignment="1">
      <alignment horizontal="center" vertical="center" wrapText="1"/>
    </xf>
    <xf numFmtId="0" fontId="19" fillId="11" borderId="3" xfId="0" applyNumberFormat="1" applyFont="1" applyFill="1" applyBorder="1" applyAlignment="1">
      <alignment horizontal="center" vertical="center" wrapText="1"/>
    </xf>
    <xf numFmtId="4" fontId="19" fillId="0" borderId="3" xfId="0" applyNumberFormat="1" applyFont="1" applyBorder="1" applyAlignment="1">
      <alignment horizontal="center" vertical="center" wrapText="1"/>
    </xf>
    <xf numFmtId="4" fontId="19" fillId="0" borderId="10" xfId="0" applyNumberFormat="1" applyFont="1" applyFill="1" applyBorder="1" applyAlignment="1">
      <alignment horizontal="center" vertical="center" wrapText="1"/>
    </xf>
    <xf numFmtId="0" fontId="6" fillId="0" borderId="0" xfId="3" applyNumberFormat="1" applyFont="1" applyFill="1" applyBorder="1" applyAlignment="1" applyProtection="1">
      <alignment horizontal="left"/>
    </xf>
    <xf numFmtId="0" fontId="4" fillId="0" borderId="0" xfId="0" applyFont="1" applyBorder="1" applyAlignment="1">
      <alignment horizontal="left" vertical="center"/>
    </xf>
    <xf numFmtId="0" fontId="53" fillId="0" borderId="5" xfId="0" applyNumberFormat="1" applyFont="1" applyFill="1" applyBorder="1" applyAlignment="1" applyProtection="1">
      <alignment horizontal="left" vertical="center" wrapText="1"/>
    </xf>
    <xf numFmtId="0" fontId="53" fillId="0" borderId="12" xfId="0" applyNumberFormat="1" applyFont="1" applyFill="1" applyBorder="1" applyAlignment="1" applyProtection="1">
      <alignment horizontal="left" vertical="center" wrapText="1"/>
    </xf>
    <xf numFmtId="2" fontId="53" fillId="0" borderId="5" xfId="0" applyNumberFormat="1" applyFont="1" applyFill="1" applyBorder="1" applyAlignment="1" applyProtection="1">
      <alignment horizontal="center" vertical="center"/>
    </xf>
    <xf numFmtId="2" fontId="53" fillId="0" borderId="12" xfId="0" applyNumberFormat="1" applyFont="1" applyFill="1" applyBorder="1" applyAlignment="1" applyProtection="1">
      <alignment horizontal="center" vertical="center"/>
    </xf>
    <xf numFmtId="0" fontId="4" fillId="0" borderId="5" xfId="0" applyFont="1" applyFill="1" applyBorder="1" applyAlignment="1">
      <alignment horizontal="left" vertical="center"/>
    </xf>
    <xf numFmtId="0" fontId="4" fillId="0" borderId="12" xfId="0" applyFont="1" applyFill="1" applyBorder="1" applyAlignment="1">
      <alignment horizontal="left" vertical="center"/>
    </xf>
    <xf numFmtId="0" fontId="2" fillId="0" borderId="8"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53" fillId="0" borderId="5" xfId="0" applyNumberFormat="1" applyFont="1" applyFill="1" applyBorder="1" applyAlignment="1" applyProtection="1">
      <alignment horizontal="left" vertical="center"/>
    </xf>
    <xf numFmtId="0" fontId="53" fillId="0" borderId="12" xfId="0" applyNumberFormat="1" applyFont="1" applyFill="1" applyBorder="1" applyAlignment="1" applyProtection="1">
      <alignment horizontal="left" vertical="center"/>
    </xf>
    <xf numFmtId="0" fontId="53" fillId="0" borderId="5" xfId="0" applyNumberFormat="1" applyFont="1" applyFill="1" applyBorder="1" applyAlignment="1" applyProtection="1">
      <alignment horizontal="center" vertical="center" wrapText="1"/>
    </xf>
    <xf numFmtId="0" fontId="53" fillId="0" borderId="12" xfId="0" applyNumberFormat="1" applyFont="1" applyFill="1" applyBorder="1" applyAlignment="1" applyProtection="1">
      <alignment horizontal="center" vertical="center" wrapText="1"/>
    </xf>
    <xf numFmtId="2" fontId="4" fillId="0" borderId="10" xfId="0" applyNumberFormat="1" applyFont="1" applyFill="1" applyBorder="1" applyAlignment="1">
      <alignment horizontal="center" vertical="center" wrapText="1"/>
    </xf>
    <xf numFmtId="0" fontId="53" fillId="0" borderId="10" xfId="0" applyNumberFormat="1" applyFont="1" applyFill="1" applyBorder="1" applyAlignment="1" applyProtection="1">
      <alignment horizontal="left" vertical="center"/>
    </xf>
    <xf numFmtId="0" fontId="53" fillId="0" borderId="10" xfId="0" applyNumberFormat="1" applyFont="1" applyFill="1" applyBorder="1" applyAlignment="1" applyProtection="1">
      <alignment horizontal="left" vertical="center" wrapText="1"/>
    </xf>
    <xf numFmtId="2" fontId="53" fillId="0" borderId="10" xfId="0" applyNumberFormat="1" applyFont="1" applyFill="1" applyBorder="1" applyAlignment="1" applyProtection="1">
      <alignment horizontal="center" vertical="center"/>
    </xf>
    <xf numFmtId="0" fontId="53" fillId="0" borderId="10" xfId="0" applyNumberFormat="1" applyFont="1" applyFill="1" applyBorder="1" applyAlignment="1" applyProtection="1">
      <alignment horizontal="center" vertical="center" wrapText="1"/>
    </xf>
    <xf numFmtId="0" fontId="53" fillId="0" borderId="5" xfId="0" applyNumberFormat="1" applyFont="1" applyFill="1" applyBorder="1" applyAlignment="1" applyProtection="1">
      <alignment horizontal="center" vertical="center"/>
    </xf>
    <xf numFmtId="0" fontId="53" fillId="0" borderId="10" xfId="0" applyNumberFormat="1" applyFont="1" applyFill="1" applyBorder="1" applyAlignment="1" applyProtection="1">
      <alignment horizontal="center" vertical="center"/>
    </xf>
    <xf numFmtId="0" fontId="53" fillId="0" borderId="12" xfId="0" applyNumberFormat="1" applyFont="1" applyFill="1" applyBorder="1" applyAlignment="1" applyProtection="1">
      <alignment horizontal="center" vertical="center"/>
    </xf>
    <xf numFmtId="0" fontId="53" fillId="0" borderId="3" xfId="0" applyNumberFormat="1" applyFont="1" applyFill="1" applyBorder="1" applyAlignment="1" applyProtection="1">
      <alignment horizontal="left" vertical="center"/>
    </xf>
    <xf numFmtId="0" fontId="53" fillId="0" borderId="22" xfId="0" applyNumberFormat="1" applyFont="1" applyFill="1" applyBorder="1" applyAlignment="1" applyProtection="1">
      <alignment horizontal="left" vertical="center"/>
    </xf>
    <xf numFmtId="0" fontId="53" fillId="0" borderId="32" xfId="0" applyNumberFormat="1" applyFont="1" applyFill="1" applyBorder="1" applyAlignment="1" applyProtection="1">
      <alignment horizontal="left" vertical="center"/>
    </xf>
    <xf numFmtId="0" fontId="53" fillId="0" borderId="15" xfId="0" applyNumberFormat="1" applyFont="1" applyFill="1" applyBorder="1" applyAlignment="1" applyProtection="1">
      <alignment horizontal="left" vertical="center"/>
    </xf>
    <xf numFmtId="0" fontId="2" fillId="0" borderId="5" xfId="0" applyFont="1" applyFill="1" applyBorder="1" applyAlignment="1">
      <alignment horizontal="center" vertical="center"/>
    </xf>
    <xf numFmtId="0" fontId="2" fillId="0" borderId="12" xfId="0" applyFont="1" applyFill="1" applyBorder="1" applyAlignment="1">
      <alignment horizontal="center" vertical="center"/>
    </xf>
    <xf numFmtId="2" fontId="53" fillId="0" borderId="5" xfId="0" applyNumberFormat="1" applyFont="1" applyFill="1" applyBorder="1" applyAlignment="1" applyProtection="1">
      <alignment horizontal="center" vertical="center" wrapText="1"/>
    </xf>
    <xf numFmtId="2" fontId="53" fillId="0" borderId="12" xfId="0" applyNumberFormat="1" applyFont="1" applyFill="1" applyBorder="1" applyAlignment="1" applyProtection="1">
      <alignment horizontal="center" vertical="center" wrapText="1"/>
    </xf>
    <xf numFmtId="172" fontId="53" fillId="0" borderId="5" xfId="0" applyNumberFormat="1" applyFont="1" applyFill="1" applyBorder="1" applyAlignment="1" applyProtection="1">
      <alignment horizontal="center" vertical="center"/>
    </xf>
    <xf numFmtId="172" fontId="53" fillId="0" borderId="10" xfId="0" applyNumberFormat="1" applyFont="1" applyFill="1" applyBorder="1" applyAlignment="1" applyProtection="1">
      <alignment horizontal="center" vertical="center"/>
    </xf>
    <xf numFmtId="172" fontId="53" fillId="0" borderId="12" xfId="0" applyNumberFormat="1" applyFont="1" applyFill="1" applyBorder="1" applyAlignment="1" applyProtection="1">
      <alignment horizontal="center" vertical="center"/>
    </xf>
    <xf numFmtId="0" fontId="5" fillId="0" borderId="0" xfId="4" applyAlignment="1">
      <alignment horizontal="left" vertical="center"/>
    </xf>
    <xf numFmtId="0" fontId="9" fillId="0" borderId="0" xfId="0" applyFont="1" applyBorder="1" applyAlignment="1">
      <alignment horizontal="center" vertical="top"/>
    </xf>
    <xf numFmtId="0" fontId="19" fillId="0" borderId="86" xfId="0" applyFont="1" applyFill="1" applyBorder="1" applyAlignment="1">
      <alignment horizontal="center" vertical="center"/>
    </xf>
    <xf numFmtId="0" fontId="19" fillId="0" borderId="54" xfId="0" applyFont="1" applyFill="1" applyBorder="1" applyAlignment="1">
      <alignment horizontal="center" vertical="center"/>
    </xf>
    <xf numFmtId="0" fontId="19" fillId="0" borderId="51" xfId="0" applyFont="1" applyFill="1" applyBorder="1" applyAlignment="1">
      <alignment horizontal="center" vertical="center"/>
    </xf>
    <xf numFmtId="0" fontId="19" fillId="0" borderId="52" xfId="0" applyFont="1" applyFill="1" applyBorder="1" applyAlignment="1">
      <alignment horizontal="center" vertical="center"/>
    </xf>
    <xf numFmtId="0" fontId="19" fillId="0" borderId="51" xfId="0" applyFont="1" applyFill="1" applyBorder="1" applyAlignment="1">
      <alignment horizontal="center" vertical="center" wrapText="1"/>
    </xf>
    <xf numFmtId="0" fontId="19" fillId="0" borderId="57" xfId="0" applyFont="1" applyFill="1" applyBorder="1" applyAlignment="1">
      <alignment horizontal="center" vertical="center" wrapText="1"/>
    </xf>
    <xf numFmtId="0" fontId="19" fillId="0" borderId="54" xfId="0" applyFont="1" applyFill="1" applyBorder="1" applyAlignment="1">
      <alignment horizontal="center" vertical="center" wrapText="1"/>
    </xf>
    <xf numFmtId="0" fontId="19" fillId="0" borderId="55" xfId="0" applyFont="1" applyFill="1" applyBorder="1" applyAlignment="1">
      <alignment horizontal="center" vertical="center" wrapText="1"/>
    </xf>
    <xf numFmtId="0" fontId="19" fillId="0" borderId="52" xfId="0" applyFont="1" applyFill="1" applyBorder="1" applyAlignment="1">
      <alignment horizontal="center" vertical="center" wrapText="1"/>
    </xf>
    <xf numFmtId="0" fontId="19" fillId="0" borderId="5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57"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5" xfId="0" applyFont="1" applyFill="1" applyBorder="1" applyAlignment="1">
      <alignment horizontal="center" vertical="center" wrapText="1"/>
    </xf>
    <xf numFmtId="0" fontId="71" fillId="0" borderId="87" xfId="0" applyFont="1" applyFill="1" applyBorder="1" applyAlignment="1">
      <alignment horizontal="center" vertical="center" wrapText="1"/>
    </xf>
    <xf numFmtId="0" fontId="71" fillId="0" borderId="86" xfId="0" applyFont="1" applyFill="1" applyBorder="1" applyAlignment="1">
      <alignment horizontal="center" vertical="center" wrapText="1"/>
    </xf>
  </cellXfs>
  <cellStyles count="14">
    <cellStyle name=" 1" xfId="1"/>
    <cellStyle name="Standaard 3" xfId="2"/>
    <cellStyle name="Гиперссылка" xfId="3" builtinId="8"/>
    <cellStyle name="Гиперссылка 2" xfId="4"/>
    <cellStyle name="Обычный" xfId="0" builtinId="0"/>
    <cellStyle name="Обычный 11 3" xfId="5"/>
    <cellStyle name="Обычный 2" xfId="6"/>
    <cellStyle name="Обычный 3" xfId="7"/>
    <cellStyle name="Финансовый 2" xfId="8"/>
    <cellStyle name="Финансовый 2 2" xfId="9"/>
    <cellStyle name="Финансовый 2 2 2" xfId="10"/>
    <cellStyle name="Финансовый 2 2 2 2" xfId="11"/>
    <cellStyle name="Финансовый 2 2 2 2 2" xfId="12"/>
    <cellStyle name="Финансовый 2 2 2 2 2 2" xfId="1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3" Type="http://schemas.openxmlformats.org/officeDocument/2006/relationships/image" Target="../media/image126.png"/><Relationship Id="rId18" Type="http://schemas.openxmlformats.org/officeDocument/2006/relationships/image" Target="../media/image128.png"/><Relationship Id="rId26" Type="http://schemas.openxmlformats.org/officeDocument/2006/relationships/image" Target="../media/image136.png"/><Relationship Id="rId3" Type="http://schemas.openxmlformats.org/officeDocument/2006/relationships/image" Target="../media/image116.png"/><Relationship Id="rId21" Type="http://schemas.openxmlformats.org/officeDocument/2006/relationships/image" Target="../media/image131.png"/><Relationship Id="rId34" Type="http://schemas.openxmlformats.org/officeDocument/2006/relationships/image" Target="../media/image143.png"/><Relationship Id="rId7" Type="http://schemas.openxmlformats.org/officeDocument/2006/relationships/image" Target="../media/image120.jpeg"/><Relationship Id="rId12" Type="http://schemas.openxmlformats.org/officeDocument/2006/relationships/image" Target="../media/image125.png"/><Relationship Id="rId17" Type="http://schemas.openxmlformats.org/officeDocument/2006/relationships/image" Target="../media/image111.png"/><Relationship Id="rId25" Type="http://schemas.openxmlformats.org/officeDocument/2006/relationships/image" Target="../media/image135.png"/><Relationship Id="rId33" Type="http://schemas.openxmlformats.org/officeDocument/2006/relationships/image" Target="../media/image142.png"/><Relationship Id="rId2" Type="http://schemas.openxmlformats.org/officeDocument/2006/relationships/image" Target="../media/image115.png"/><Relationship Id="rId16" Type="http://schemas.openxmlformats.org/officeDocument/2006/relationships/image" Target="../media/image109.png"/><Relationship Id="rId20" Type="http://schemas.openxmlformats.org/officeDocument/2006/relationships/image" Target="../media/image130.png"/><Relationship Id="rId29" Type="http://schemas.openxmlformats.org/officeDocument/2006/relationships/image" Target="../media/image139.png"/><Relationship Id="rId1" Type="http://schemas.openxmlformats.org/officeDocument/2006/relationships/image" Target="../media/image114.jpeg"/><Relationship Id="rId6" Type="http://schemas.openxmlformats.org/officeDocument/2006/relationships/image" Target="../media/image119.jpeg"/><Relationship Id="rId11" Type="http://schemas.openxmlformats.org/officeDocument/2006/relationships/image" Target="../media/image124.jpeg"/><Relationship Id="rId24" Type="http://schemas.openxmlformats.org/officeDocument/2006/relationships/image" Target="../media/image134.png"/><Relationship Id="rId32" Type="http://schemas.openxmlformats.org/officeDocument/2006/relationships/image" Target="../media/image141.png"/><Relationship Id="rId5" Type="http://schemas.openxmlformats.org/officeDocument/2006/relationships/image" Target="../media/image118.jpeg"/><Relationship Id="rId15" Type="http://schemas.openxmlformats.org/officeDocument/2006/relationships/image" Target="../media/image108.png"/><Relationship Id="rId23" Type="http://schemas.openxmlformats.org/officeDocument/2006/relationships/image" Target="../media/image133.png"/><Relationship Id="rId28" Type="http://schemas.openxmlformats.org/officeDocument/2006/relationships/image" Target="../media/image138.png"/><Relationship Id="rId10" Type="http://schemas.openxmlformats.org/officeDocument/2006/relationships/image" Target="../media/image123.png"/><Relationship Id="rId19" Type="http://schemas.openxmlformats.org/officeDocument/2006/relationships/image" Target="../media/image129.png"/><Relationship Id="rId31" Type="http://schemas.openxmlformats.org/officeDocument/2006/relationships/image" Target="../media/image113.jpeg"/><Relationship Id="rId4" Type="http://schemas.openxmlformats.org/officeDocument/2006/relationships/image" Target="../media/image117.png"/><Relationship Id="rId9" Type="http://schemas.openxmlformats.org/officeDocument/2006/relationships/image" Target="../media/image122.png"/><Relationship Id="rId14" Type="http://schemas.openxmlformats.org/officeDocument/2006/relationships/image" Target="../media/image127.png"/><Relationship Id="rId22" Type="http://schemas.openxmlformats.org/officeDocument/2006/relationships/image" Target="../media/image132.png"/><Relationship Id="rId27" Type="http://schemas.openxmlformats.org/officeDocument/2006/relationships/image" Target="../media/image137.png"/><Relationship Id="rId30" Type="http://schemas.openxmlformats.org/officeDocument/2006/relationships/image" Target="../media/image140.png"/><Relationship Id="rId8" Type="http://schemas.openxmlformats.org/officeDocument/2006/relationships/image" Target="../media/image12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49.png"/><Relationship Id="rId13" Type="http://schemas.openxmlformats.org/officeDocument/2006/relationships/image" Target="../media/image154.png"/><Relationship Id="rId18" Type="http://schemas.openxmlformats.org/officeDocument/2006/relationships/image" Target="../media/image108.png"/><Relationship Id="rId3" Type="http://schemas.openxmlformats.org/officeDocument/2006/relationships/image" Target="../media/image144.png"/><Relationship Id="rId7" Type="http://schemas.openxmlformats.org/officeDocument/2006/relationships/image" Target="../media/image148.png"/><Relationship Id="rId12" Type="http://schemas.openxmlformats.org/officeDocument/2006/relationships/image" Target="../media/image153.png"/><Relationship Id="rId17" Type="http://schemas.openxmlformats.org/officeDocument/2006/relationships/image" Target="../media/image158.png"/><Relationship Id="rId2" Type="http://schemas.openxmlformats.org/officeDocument/2006/relationships/image" Target="../media/image111.png"/><Relationship Id="rId16" Type="http://schemas.openxmlformats.org/officeDocument/2006/relationships/image" Target="../media/image157.jpeg"/><Relationship Id="rId1" Type="http://schemas.openxmlformats.org/officeDocument/2006/relationships/image" Target="../media/image109.png"/><Relationship Id="rId6" Type="http://schemas.openxmlformats.org/officeDocument/2006/relationships/image" Target="../media/image147.png"/><Relationship Id="rId11" Type="http://schemas.openxmlformats.org/officeDocument/2006/relationships/image" Target="../media/image152.png"/><Relationship Id="rId5" Type="http://schemas.openxmlformats.org/officeDocument/2006/relationships/image" Target="../media/image146.png"/><Relationship Id="rId15" Type="http://schemas.openxmlformats.org/officeDocument/2006/relationships/image" Target="../media/image156.png"/><Relationship Id="rId10" Type="http://schemas.openxmlformats.org/officeDocument/2006/relationships/image" Target="../media/image151.png"/><Relationship Id="rId19" Type="http://schemas.openxmlformats.org/officeDocument/2006/relationships/image" Target="../media/image113.jpeg"/><Relationship Id="rId4" Type="http://schemas.openxmlformats.org/officeDocument/2006/relationships/image" Target="../media/image145.png"/><Relationship Id="rId9" Type="http://schemas.openxmlformats.org/officeDocument/2006/relationships/image" Target="../media/image150.png"/><Relationship Id="rId14" Type="http://schemas.openxmlformats.org/officeDocument/2006/relationships/image" Target="../media/image155.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66.png"/><Relationship Id="rId13" Type="http://schemas.openxmlformats.org/officeDocument/2006/relationships/image" Target="../media/image171.png"/><Relationship Id="rId18" Type="http://schemas.openxmlformats.org/officeDocument/2006/relationships/image" Target="../media/image176.png"/><Relationship Id="rId3" Type="http://schemas.openxmlformats.org/officeDocument/2006/relationships/image" Target="../media/image161.png"/><Relationship Id="rId21" Type="http://schemas.openxmlformats.org/officeDocument/2006/relationships/image" Target="../media/image179.jpeg"/><Relationship Id="rId7" Type="http://schemas.openxmlformats.org/officeDocument/2006/relationships/image" Target="../media/image165.png"/><Relationship Id="rId12" Type="http://schemas.openxmlformats.org/officeDocument/2006/relationships/image" Target="../media/image170.png"/><Relationship Id="rId17" Type="http://schemas.openxmlformats.org/officeDocument/2006/relationships/image" Target="../media/image175.png"/><Relationship Id="rId2" Type="http://schemas.openxmlformats.org/officeDocument/2006/relationships/image" Target="../media/image160.jpeg"/><Relationship Id="rId16" Type="http://schemas.openxmlformats.org/officeDocument/2006/relationships/image" Target="../media/image174.png"/><Relationship Id="rId20" Type="http://schemas.openxmlformats.org/officeDocument/2006/relationships/image" Target="../media/image178.png"/><Relationship Id="rId1" Type="http://schemas.openxmlformats.org/officeDocument/2006/relationships/image" Target="../media/image159.png"/><Relationship Id="rId6" Type="http://schemas.openxmlformats.org/officeDocument/2006/relationships/image" Target="../media/image164.png"/><Relationship Id="rId11" Type="http://schemas.openxmlformats.org/officeDocument/2006/relationships/image" Target="../media/image169.png"/><Relationship Id="rId5" Type="http://schemas.openxmlformats.org/officeDocument/2006/relationships/image" Target="../media/image163.png"/><Relationship Id="rId15" Type="http://schemas.openxmlformats.org/officeDocument/2006/relationships/image" Target="../media/image173.png"/><Relationship Id="rId10" Type="http://schemas.openxmlformats.org/officeDocument/2006/relationships/image" Target="../media/image168.png"/><Relationship Id="rId19" Type="http://schemas.openxmlformats.org/officeDocument/2006/relationships/image" Target="../media/image177.png"/><Relationship Id="rId4" Type="http://schemas.openxmlformats.org/officeDocument/2006/relationships/image" Target="../media/image162.png"/><Relationship Id="rId9" Type="http://schemas.openxmlformats.org/officeDocument/2006/relationships/image" Target="../media/image167.png"/><Relationship Id="rId14" Type="http://schemas.openxmlformats.org/officeDocument/2006/relationships/image" Target="../media/image172.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86.png"/><Relationship Id="rId13" Type="http://schemas.openxmlformats.org/officeDocument/2006/relationships/image" Target="../media/image190.jpeg"/><Relationship Id="rId18" Type="http://schemas.openxmlformats.org/officeDocument/2006/relationships/image" Target="../media/image194.jpeg"/><Relationship Id="rId3" Type="http://schemas.openxmlformats.org/officeDocument/2006/relationships/image" Target="../media/image182.png"/><Relationship Id="rId7" Type="http://schemas.openxmlformats.org/officeDocument/2006/relationships/image" Target="../media/image185.png"/><Relationship Id="rId12" Type="http://schemas.openxmlformats.org/officeDocument/2006/relationships/image" Target="../media/image173.png"/><Relationship Id="rId17" Type="http://schemas.openxmlformats.org/officeDocument/2006/relationships/image" Target="../media/image193.jpeg"/><Relationship Id="rId2" Type="http://schemas.openxmlformats.org/officeDocument/2006/relationships/image" Target="../media/image181.png"/><Relationship Id="rId16" Type="http://schemas.openxmlformats.org/officeDocument/2006/relationships/image" Target="../media/image192.png"/><Relationship Id="rId20" Type="http://schemas.openxmlformats.org/officeDocument/2006/relationships/image" Target="../media/image196.jpeg"/><Relationship Id="rId1" Type="http://schemas.openxmlformats.org/officeDocument/2006/relationships/image" Target="../media/image180.png"/><Relationship Id="rId6" Type="http://schemas.openxmlformats.org/officeDocument/2006/relationships/image" Target="../media/image172.png"/><Relationship Id="rId11" Type="http://schemas.openxmlformats.org/officeDocument/2006/relationships/image" Target="../media/image189.png"/><Relationship Id="rId5" Type="http://schemas.openxmlformats.org/officeDocument/2006/relationships/image" Target="../media/image184.png"/><Relationship Id="rId15" Type="http://schemas.openxmlformats.org/officeDocument/2006/relationships/image" Target="../media/image174.png"/><Relationship Id="rId10" Type="http://schemas.openxmlformats.org/officeDocument/2006/relationships/image" Target="../media/image188.png"/><Relationship Id="rId19" Type="http://schemas.openxmlformats.org/officeDocument/2006/relationships/image" Target="../media/image195.jpeg"/><Relationship Id="rId4" Type="http://schemas.openxmlformats.org/officeDocument/2006/relationships/image" Target="../media/image183.png"/><Relationship Id="rId9" Type="http://schemas.openxmlformats.org/officeDocument/2006/relationships/image" Target="../media/image187.png"/><Relationship Id="rId14" Type="http://schemas.openxmlformats.org/officeDocument/2006/relationships/image" Target="../media/image191.png"/></Relationships>
</file>

<file path=xl/drawings/_rels/drawing14.xml.rels><?xml version="1.0" encoding="UTF-8" standalone="yes"?>
<Relationships xmlns="http://schemas.openxmlformats.org/package/2006/relationships"><Relationship Id="rId13" Type="http://schemas.openxmlformats.org/officeDocument/2006/relationships/image" Target="../media/image209.png"/><Relationship Id="rId18" Type="http://schemas.openxmlformats.org/officeDocument/2006/relationships/image" Target="../media/image214.png"/><Relationship Id="rId26" Type="http://schemas.openxmlformats.org/officeDocument/2006/relationships/image" Target="../media/image222.png"/><Relationship Id="rId39" Type="http://schemas.openxmlformats.org/officeDocument/2006/relationships/image" Target="../media/image235.jpeg"/><Relationship Id="rId21" Type="http://schemas.openxmlformats.org/officeDocument/2006/relationships/image" Target="../media/image217.png"/><Relationship Id="rId34" Type="http://schemas.openxmlformats.org/officeDocument/2006/relationships/image" Target="../media/image230.png"/><Relationship Id="rId7" Type="http://schemas.openxmlformats.org/officeDocument/2006/relationships/image" Target="../media/image203.png"/><Relationship Id="rId12" Type="http://schemas.openxmlformats.org/officeDocument/2006/relationships/image" Target="../media/image208.png"/><Relationship Id="rId17" Type="http://schemas.openxmlformats.org/officeDocument/2006/relationships/image" Target="../media/image213.png"/><Relationship Id="rId25" Type="http://schemas.openxmlformats.org/officeDocument/2006/relationships/image" Target="../media/image221.png"/><Relationship Id="rId33" Type="http://schemas.openxmlformats.org/officeDocument/2006/relationships/image" Target="../media/image229.png"/><Relationship Id="rId38" Type="http://schemas.openxmlformats.org/officeDocument/2006/relationships/image" Target="../media/image234.jpeg"/><Relationship Id="rId2" Type="http://schemas.openxmlformats.org/officeDocument/2006/relationships/image" Target="../media/image198.png"/><Relationship Id="rId16" Type="http://schemas.openxmlformats.org/officeDocument/2006/relationships/image" Target="../media/image212.png"/><Relationship Id="rId20" Type="http://schemas.openxmlformats.org/officeDocument/2006/relationships/image" Target="../media/image216.png"/><Relationship Id="rId29" Type="http://schemas.openxmlformats.org/officeDocument/2006/relationships/image" Target="../media/image225.png"/><Relationship Id="rId1" Type="http://schemas.openxmlformats.org/officeDocument/2006/relationships/image" Target="../media/image197.png"/><Relationship Id="rId6" Type="http://schemas.openxmlformats.org/officeDocument/2006/relationships/image" Target="../media/image202.png"/><Relationship Id="rId11" Type="http://schemas.openxmlformats.org/officeDocument/2006/relationships/image" Target="../media/image207.png"/><Relationship Id="rId24" Type="http://schemas.openxmlformats.org/officeDocument/2006/relationships/image" Target="../media/image220.png"/><Relationship Id="rId32" Type="http://schemas.openxmlformats.org/officeDocument/2006/relationships/image" Target="../media/image228.png"/><Relationship Id="rId37" Type="http://schemas.openxmlformats.org/officeDocument/2006/relationships/image" Target="../media/image233.jpeg"/><Relationship Id="rId40" Type="http://schemas.openxmlformats.org/officeDocument/2006/relationships/image" Target="../media/image236.jpeg"/><Relationship Id="rId5" Type="http://schemas.openxmlformats.org/officeDocument/2006/relationships/image" Target="../media/image201.jpeg"/><Relationship Id="rId15" Type="http://schemas.openxmlformats.org/officeDocument/2006/relationships/image" Target="../media/image211.png"/><Relationship Id="rId23" Type="http://schemas.openxmlformats.org/officeDocument/2006/relationships/image" Target="../media/image219.png"/><Relationship Id="rId28" Type="http://schemas.openxmlformats.org/officeDocument/2006/relationships/image" Target="../media/image224.png"/><Relationship Id="rId36" Type="http://schemas.openxmlformats.org/officeDocument/2006/relationships/image" Target="../media/image232.png"/><Relationship Id="rId10" Type="http://schemas.openxmlformats.org/officeDocument/2006/relationships/image" Target="../media/image206.png"/><Relationship Id="rId19" Type="http://schemas.openxmlformats.org/officeDocument/2006/relationships/image" Target="../media/image215.png"/><Relationship Id="rId31" Type="http://schemas.openxmlformats.org/officeDocument/2006/relationships/image" Target="../media/image227.png"/><Relationship Id="rId4" Type="http://schemas.openxmlformats.org/officeDocument/2006/relationships/image" Target="../media/image200.jpeg"/><Relationship Id="rId9" Type="http://schemas.openxmlformats.org/officeDocument/2006/relationships/image" Target="../media/image205.png"/><Relationship Id="rId14" Type="http://schemas.openxmlformats.org/officeDocument/2006/relationships/image" Target="../media/image210.png"/><Relationship Id="rId22" Type="http://schemas.openxmlformats.org/officeDocument/2006/relationships/image" Target="../media/image218.png"/><Relationship Id="rId27" Type="http://schemas.openxmlformats.org/officeDocument/2006/relationships/image" Target="../media/image223.png"/><Relationship Id="rId30" Type="http://schemas.openxmlformats.org/officeDocument/2006/relationships/image" Target="../media/image226.png"/><Relationship Id="rId35" Type="http://schemas.openxmlformats.org/officeDocument/2006/relationships/image" Target="../media/image231.png"/><Relationship Id="rId8" Type="http://schemas.openxmlformats.org/officeDocument/2006/relationships/image" Target="../media/image204.png"/><Relationship Id="rId3" Type="http://schemas.openxmlformats.org/officeDocument/2006/relationships/image" Target="../media/image199.png"/></Relationships>
</file>

<file path=xl/drawings/_rels/drawing15.xml.rels><?xml version="1.0" encoding="UTF-8" standalone="yes"?>
<Relationships xmlns="http://schemas.openxmlformats.org/package/2006/relationships"><Relationship Id="rId13" Type="http://schemas.openxmlformats.org/officeDocument/2006/relationships/image" Target="../media/image249.png"/><Relationship Id="rId18" Type="http://schemas.openxmlformats.org/officeDocument/2006/relationships/image" Target="../media/image254.png"/><Relationship Id="rId26" Type="http://schemas.openxmlformats.org/officeDocument/2006/relationships/image" Target="../media/image262.jpeg"/><Relationship Id="rId3" Type="http://schemas.openxmlformats.org/officeDocument/2006/relationships/image" Target="../media/image239.png"/><Relationship Id="rId21" Type="http://schemas.openxmlformats.org/officeDocument/2006/relationships/image" Target="../media/image257.png"/><Relationship Id="rId7" Type="http://schemas.openxmlformats.org/officeDocument/2006/relationships/image" Target="../media/image243.png"/><Relationship Id="rId12" Type="http://schemas.openxmlformats.org/officeDocument/2006/relationships/image" Target="../media/image248.png"/><Relationship Id="rId17" Type="http://schemas.openxmlformats.org/officeDocument/2006/relationships/image" Target="../media/image253.png"/><Relationship Id="rId25" Type="http://schemas.openxmlformats.org/officeDocument/2006/relationships/image" Target="../media/image261.jpeg"/><Relationship Id="rId33" Type="http://schemas.openxmlformats.org/officeDocument/2006/relationships/image" Target="../media/image269.jpeg"/><Relationship Id="rId2" Type="http://schemas.openxmlformats.org/officeDocument/2006/relationships/image" Target="../media/image238.png"/><Relationship Id="rId16" Type="http://schemas.openxmlformats.org/officeDocument/2006/relationships/image" Target="../media/image252.png"/><Relationship Id="rId20" Type="http://schemas.openxmlformats.org/officeDocument/2006/relationships/image" Target="../media/image256.png"/><Relationship Id="rId29" Type="http://schemas.openxmlformats.org/officeDocument/2006/relationships/image" Target="../media/image265.jpeg"/><Relationship Id="rId1" Type="http://schemas.openxmlformats.org/officeDocument/2006/relationships/image" Target="../media/image237.png"/><Relationship Id="rId6" Type="http://schemas.openxmlformats.org/officeDocument/2006/relationships/image" Target="../media/image242.png"/><Relationship Id="rId11" Type="http://schemas.openxmlformats.org/officeDocument/2006/relationships/image" Target="../media/image247.png"/><Relationship Id="rId24" Type="http://schemas.openxmlformats.org/officeDocument/2006/relationships/image" Target="../media/image260.jpeg"/><Relationship Id="rId32" Type="http://schemas.openxmlformats.org/officeDocument/2006/relationships/image" Target="../media/image268.jpeg"/><Relationship Id="rId5" Type="http://schemas.openxmlformats.org/officeDocument/2006/relationships/image" Target="../media/image241.png"/><Relationship Id="rId15" Type="http://schemas.openxmlformats.org/officeDocument/2006/relationships/image" Target="../media/image251.png"/><Relationship Id="rId23" Type="http://schemas.openxmlformats.org/officeDocument/2006/relationships/image" Target="../media/image259.png"/><Relationship Id="rId28" Type="http://schemas.openxmlformats.org/officeDocument/2006/relationships/image" Target="../media/image264.jpeg"/><Relationship Id="rId10" Type="http://schemas.openxmlformats.org/officeDocument/2006/relationships/image" Target="../media/image246.png"/><Relationship Id="rId19" Type="http://schemas.openxmlformats.org/officeDocument/2006/relationships/image" Target="../media/image255.png"/><Relationship Id="rId31" Type="http://schemas.openxmlformats.org/officeDocument/2006/relationships/image" Target="../media/image267.jpeg"/><Relationship Id="rId4" Type="http://schemas.openxmlformats.org/officeDocument/2006/relationships/image" Target="../media/image240.png"/><Relationship Id="rId9" Type="http://schemas.openxmlformats.org/officeDocument/2006/relationships/image" Target="../media/image245.png"/><Relationship Id="rId14" Type="http://schemas.openxmlformats.org/officeDocument/2006/relationships/image" Target="../media/image250.png"/><Relationship Id="rId22" Type="http://schemas.openxmlformats.org/officeDocument/2006/relationships/image" Target="../media/image258.png"/><Relationship Id="rId27" Type="http://schemas.openxmlformats.org/officeDocument/2006/relationships/image" Target="../media/image263.jpeg"/><Relationship Id="rId30" Type="http://schemas.openxmlformats.org/officeDocument/2006/relationships/image" Target="../media/image266.jpeg"/><Relationship Id="rId8" Type="http://schemas.openxmlformats.org/officeDocument/2006/relationships/image" Target="../media/image24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38.png"/><Relationship Id="rId1" Type="http://schemas.openxmlformats.org/officeDocument/2006/relationships/image" Target="../media/image237.png"/></Relationships>
</file>

<file path=xl/drawings/_rels/drawing17.xml.rels><?xml version="1.0" encoding="UTF-8" standalone="yes"?>
<Relationships xmlns="http://schemas.openxmlformats.org/package/2006/relationships"><Relationship Id="rId13" Type="http://schemas.openxmlformats.org/officeDocument/2006/relationships/image" Target="../media/image282.png"/><Relationship Id="rId18" Type="http://schemas.openxmlformats.org/officeDocument/2006/relationships/image" Target="../media/image287.png"/><Relationship Id="rId26" Type="http://schemas.openxmlformats.org/officeDocument/2006/relationships/image" Target="../media/image295.png"/><Relationship Id="rId3" Type="http://schemas.openxmlformats.org/officeDocument/2006/relationships/image" Target="../media/image272.png"/><Relationship Id="rId21" Type="http://schemas.openxmlformats.org/officeDocument/2006/relationships/image" Target="../media/image290.png"/><Relationship Id="rId7" Type="http://schemas.openxmlformats.org/officeDocument/2006/relationships/image" Target="../media/image276.png"/><Relationship Id="rId12" Type="http://schemas.openxmlformats.org/officeDocument/2006/relationships/image" Target="../media/image281.png"/><Relationship Id="rId17" Type="http://schemas.openxmlformats.org/officeDocument/2006/relationships/image" Target="../media/image286.png"/><Relationship Id="rId25" Type="http://schemas.openxmlformats.org/officeDocument/2006/relationships/image" Target="../media/image294.png"/><Relationship Id="rId33" Type="http://schemas.openxmlformats.org/officeDocument/2006/relationships/image" Target="../media/image302.png"/><Relationship Id="rId2" Type="http://schemas.openxmlformats.org/officeDocument/2006/relationships/image" Target="../media/image271.png"/><Relationship Id="rId16" Type="http://schemas.openxmlformats.org/officeDocument/2006/relationships/image" Target="../media/image285.png"/><Relationship Id="rId20" Type="http://schemas.openxmlformats.org/officeDocument/2006/relationships/image" Target="../media/image289.png"/><Relationship Id="rId29" Type="http://schemas.openxmlformats.org/officeDocument/2006/relationships/image" Target="../media/image298.png"/><Relationship Id="rId1" Type="http://schemas.openxmlformats.org/officeDocument/2006/relationships/image" Target="../media/image270.png"/><Relationship Id="rId6" Type="http://schemas.openxmlformats.org/officeDocument/2006/relationships/image" Target="../media/image275.png"/><Relationship Id="rId11" Type="http://schemas.openxmlformats.org/officeDocument/2006/relationships/image" Target="../media/image280.png"/><Relationship Id="rId24" Type="http://schemas.openxmlformats.org/officeDocument/2006/relationships/image" Target="../media/image293.png"/><Relationship Id="rId32" Type="http://schemas.openxmlformats.org/officeDocument/2006/relationships/image" Target="../media/image301.png"/><Relationship Id="rId5" Type="http://schemas.openxmlformats.org/officeDocument/2006/relationships/image" Target="../media/image274.png"/><Relationship Id="rId15" Type="http://schemas.openxmlformats.org/officeDocument/2006/relationships/image" Target="../media/image284.png"/><Relationship Id="rId23" Type="http://schemas.openxmlformats.org/officeDocument/2006/relationships/image" Target="../media/image292.png"/><Relationship Id="rId28" Type="http://schemas.openxmlformats.org/officeDocument/2006/relationships/image" Target="../media/image297.png"/><Relationship Id="rId10" Type="http://schemas.openxmlformats.org/officeDocument/2006/relationships/image" Target="../media/image279.png"/><Relationship Id="rId19" Type="http://schemas.openxmlformats.org/officeDocument/2006/relationships/image" Target="../media/image288.png"/><Relationship Id="rId31" Type="http://schemas.openxmlformats.org/officeDocument/2006/relationships/image" Target="../media/image300.png"/><Relationship Id="rId4" Type="http://schemas.openxmlformats.org/officeDocument/2006/relationships/image" Target="../media/image273.png"/><Relationship Id="rId9" Type="http://schemas.openxmlformats.org/officeDocument/2006/relationships/image" Target="../media/image278.png"/><Relationship Id="rId14" Type="http://schemas.openxmlformats.org/officeDocument/2006/relationships/image" Target="../media/image283.png"/><Relationship Id="rId22" Type="http://schemas.openxmlformats.org/officeDocument/2006/relationships/image" Target="../media/image291.png"/><Relationship Id="rId27" Type="http://schemas.openxmlformats.org/officeDocument/2006/relationships/image" Target="../media/image296.png"/><Relationship Id="rId30" Type="http://schemas.openxmlformats.org/officeDocument/2006/relationships/image" Target="../media/image299.png"/><Relationship Id="rId8" Type="http://schemas.openxmlformats.org/officeDocument/2006/relationships/image" Target="../media/image277.png"/></Relationships>
</file>

<file path=xl/drawings/_rels/drawing18.xml.rels><?xml version="1.0" encoding="UTF-8" standalone="yes"?>
<Relationships xmlns="http://schemas.openxmlformats.org/package/2006/relationships"><Relationship Id="rId8" Type="http://schemas.openxmlformats.org/officeDocument/2006/relationships/image" Target="../media/image310.png"/><Relationship Id="rId3" Type="http://schemas.openxmlformats.org/officeDocument/2006/relationships/image" Target="../media/image305.png"/><Relationship Id="rId7" Type="http://schemas.openxmlformats.org/officeDocument/2006/relationships/image" Target="../media/image309.png"/><Relationship Id="rId2" Type="http://schemas.openxmlformats.org/officeDocument/2006/relationships/image" Target="../media/image304.png"/><Relationship Id="rId1" Type="http://schemas.openxmlformats.org/officeDocument/2006/relationships/image" Target="../media/image303.png"/><Relationship Id="rId6" Type="http://schemas.openxmlformats.org/officeDocument/2006/relationships/image" Target="../media/image308.png"/><Relationship Id="rId5" Type="http://schemas.openxmlformats.org/officeDocument/2006/relationships/image" Target="../media/image307.png"/><Relationship Id="rId10" Type="http://schemas.openxmlformats.org/officeDocument/2006/relationships/image" Target="../media/image312.png"/><Relationship Id="rId4" Type="http://schemas.openxmlformats.org/officeDocument/2006/relationships/image" Target="../media/image306.png"/><Relationship Id="rId9" Type="http://schemas.openxmlformats.org/officeDocument/2006/relationships/image" Target="../media/image31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1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0.xml.rels><?xml version="1.0" encoding="UTF-8" standalone="yes"?>
<Relationships xmlns="http://schemas.openxmlformats.org/package/2006/relationships"><Relationship Id="rId8" Type="http://schemas.openxmlformats.org/officeDocument/2006/relationships/image" Target="../media/image341.jpeg"/><Relationship Id="rId13" Type="http://schemas.openxmlformats.org/officeDocument/2006/relationships/image" Target="../media/image346.png"/><Relationship Id="rId3" Type="http://schemas.openxmlformats.org/officeDocument/2006/relationships/image" Target="../media/image336.jpeg"/><Relationship Id="rId7" Type="http://schemas.openxmlformats.org/officeDocument/2006/relationships/image" Target="../media/image340.jpeg"/><Relationship Id="rId12" Type="http://schemas.openxmlformats.org/officeDocument/2006/relationships/image" Target="../media/image345.png"/><Relationship Id="rId2" Type="http://schemas.openxmlformats.org/officeDocument/2006/relationships/image" Target="../media/image335.jpeg"/><Relationship Id="rId1" Type="http://schemas.openxmlformats.org/officeDocument/2006/relationships/image" Target="../media/image334.jpeg"/><Relationship Id="rId6" Type="http://schemas.openxmlformats.org/officeDocument/2006/relationships/image" Target="../media/image339.jpeg"/><Relationship Id="rId11" Type="http://schemas.openxmlformats.org/officeDocument/2006/relationships/image" Target="../media/image344.png"/><Relationship Id="rId5" Type="http://schemas.openxmlformats.org/officeDocument/2006/relationships/image" Target="../media/image338.jpeg"/><Relationship Id="rId10" Type="http://schemas.openxmlformats.org/officeDocument/2006/relationships/image" Target="../media/image343.png"/><Relationship Id="rId4" Type="http://schemas.openxmlformats.org/officeDocument/2006/relationships/image" Target="../media/image337.jpeg"/><Relationship Id="rId9" Type="http://schemas.openxmlformats.org/officeDocument/2006/relationships/image" Target="../media/image342.png"/><Relationship Id="rId14" Type="http://schemas.openxmlformats.org/officeDocument/2006/relationships/image" Target="../media/image347.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350.png"/><Relationship Id="rId2" Type="http://schemas.openxmlformats.org/officeDocument/2006/relationships/image" Target="../media/image349.jpeg"/><Relationship Id="rId1" Type="http://schemas.openxmlformats.org/officeDocument/2006/relationships/image" Target="../media/image348.png"/><Relationship Id="rId6" Type="http://schemas.openxmlformats.org/officeDocument/2006/relationships/image" Target="../media/image353.png"/><Relationship Id="rId5" Type="http://schemas.openxmlformats.org/officeDocument/2006/relationships/image" Target="../media/image352.png"/><Relationship Id="rId4" Type="http://schemas.openxmlformats.org/officeDocument/2006/relationships/image" Target="../media/image351.png"/></Relationships>
</file>

<file path=xl/drawings/_rels/drawing22.xml.rels><?xml version="1.0" encoding="UTF-8" standalone="yes"?>
<Relationships xmlns="http://schemas.openxmlformats.org/package/2006/relationships"><Relationship Id="rId8" Type="http://schemas.openxmlformats.org/officeDocument/2006/relationships/image" Target="../media/image361.png"/><Relationship Id="rId13" Type="http://schemas.openxmlformats.org/officeDocument/2006/relationships/image" Target="../media/image366.jpeg"/><Relationship Id="rId3" Type="http://schemas.openxmlformats.org/officeDocument/2006/relationships/image" Target="../media/image356.png"/><Relationship Id="rId7" Type="http://schemas.openxmlformats.org/officeDocument/2006/relationships/image" Target="../media/image360.png"/><Relationship Id="rId12" Type="http://schemas.openxmlformats.org/officeDocument/2006/relationships/image" Target="../media/image365.jpeg"/><Relationship Id="rId2" Type="http://schemas.openxmlformats.org/officeDocument/2006/relationships/image" Target="../media/image355.png"/><Relationship Id="rId1" Type="http://schemas.openxmlformats.org/officeDocument/2006/relationships/image" Target="../media/image354.png"/><Relationship Id="rId6" Type="http://schemas.openxmlformats.org/officeDocument/2006/relationships/image" Target="../media/image359.png"/><Relationship Id="rId11" Type="http://schemas.openxmlformats.org/officeDocument/2006/relationships/image" Target="../media/image364.jpeg"/><Relationship Id="rId5" Type="http://schemas.openxmlformats.org/officeDocument/2006/relationships/image" Target="../media/image358.png"/><Relationship Id="rId15" Type="http://schemas.openxmlformats.org/officeDocument/2006/relationships/image" Target="../media/image368.jpeg"/><Relationship Id="rId10" Type="http://schemas.openxmlformats.org/officeDocument/2006/relationships/image" Target="../media/image363.jpeg"/><Relationship Id="rId4" Type="http://schemas.openxmlformats.org/officeDocument/2006/relationships/image" Target="../media/image357.png"/><Relationship Id="rId9" Type="http://schemas.openxmlformats.org/officeDocument/2006/relationships/image" Target="../media/image362.png"/><Relationship Id="rId14" Type="http://schemas.openxmlformats.org/officeDocument/2006/relationships/image" Target="../media/image367.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13.jpeg"/><Relationship Id="rId2" Type="http://schemas.openxmlformats.org/officeDocument/2006/relationships/image" Target="../media/image370.png"/><Relationship Id="rId1" Type="http://schemas.openxmlformats.org/officeDocument/2006/relationships/image" Target="../media/image369.png"/><Relationship Id="rId4" Type="http://schemas.openxmlformats.org/officeDocument/2006/relationships/image" Target="../media/image371.png"/></Relationships>
</file>

<file path=xl/drawings/_rels/drawing24.xml.rels><?xml version="1.0" encoding="UTF-8" standalone="yes"?>
<Relationships xmlns="http://schemas.openxmlformats.org/package/2006/relationships"><Relationship Id="rId8" Type="http://schemas.openxmlformats.org/officeDocument/2006/relationships/image" Target="../media/image395.png"/><Relationship Id="rId3" Type="http://schemas.openxmlformats.org/officeDocument/2006/relationships/image" Target="../media/image390.png"/><Relationship Id="rId7" Type="http://schemas.openxmlformats.org/officeDocument/2006/relationships/image" Target="../media/image394.png"/><Relationship Id="rId2" Type="http://schemas.openxmlformats.org/officeDocument/2006/relationships/image" Target="../media/image389.png"/><Relationship Id="rId1" Type="http://schemas.openxmlformats.org/officeDocument/2006/relationships/image" Target="../media/image388.png"/><Relationship Id="rId6" Type="http://schemas.openxmlformats.org/officeDocument/2006/relationships/image" Target="../media/image393.png"/><Relationship Id="rId5" Type="http://schemas.openxmlformats.org/officeDocument/2006/relationships/image" Target="../media/image392.png"/><Relationship Id="rId10" Type="http://schemas.openxmlformats.org/officeDocument/2006/relationships/image" Target="../media/image397.png"/><Relationship Id="rId4" Type="http://schemas.openxmlformats.org/officeDocument/2006/relationships/image" Target="../media/image391.png"/><Relationship Id="rId9" Type="http://schemas.openxmlformats.org/officeDocument/2006/relationships/image" Target="../media/image396.png"/></Relationships>
</file>

<file path=xl/drawings/_rels/drawing25.xml.rels><?xml version="1.0" encoding="UTF-8" standalone="yes"?>
<Relationships xmlns="http://schemas.openxmlformats.org/package/2006/relationships"><Relationship Id="rId8" Type="http://schemas.openxmlformats.org/officeDocument/2006/relationships/image" Target="../media/image405.png"/><Relationship Id="rId13" Type="http://schemas.openxmlformats.org/officeDocument/2006/relationships/image" Target="../media/image410.png"/><Relationship Id="rId18" Type="http://schemas.openxmlformats.org/officeDocument/2006/relationships/image" Target="../media/image414.png"/><Relationship Id="rId3" Type="http://schemas.openxmlformats.org/officeDocument/2006/relationships/image" Target="../media/image400.png"/><Relationship Id="rId7" Type="http://schemas.openxmlformats.org/officeDocument/2006/relationships/image" Target="../media/image404.png"/><Relationship Id="rId12" Type="http://schemas.openxmlformats.org/officeDocument/2006/relationships/image" Target="../media/image409.png"/><Relationship Id="rId17" Type="http://schemas.openxmlformats.org/officeDocument/2006/relationships/image" Target="../media/image413.jpeg"/><Relationship Id="rId2" Type="http://schemas.openxmlformats.org/officeDocument/2006/relationships/image" Target="../media/image399.png"/><Relationship Id="rId16" Type="http://schemas.openxmlformats.org/officeDocument/2006/relationships/image" Target="../media/image412.jpeg"/><Relationship Id="rId1" Type="http://schemas.openxmlformats.org/officeDocument/2006/relationships/image" Target="../media/image398.jpeg"/><Relationship Id="rId6" Type="http://schemas.openxmlformats.org/officeDocument/2006/relationships/image" Target="../media/image403.png"/><Relationship Id="rId11" Type="http://schemas.openxmlformats.org/officeDocument/2006/relationships/image" Target="../media/image408.png"/><Relationship Id="rId5" Type="http://schemas.openxmlformats.org/officeDocument/2006/relationships/image" Target="../media/image402.png"/><Relationship Id="rId15" Type="http://schemas.openxmlformats.org/officeDocument/2006/relationships/image" Target="../media/image313.jpeg"/><Relationship Id="rId10" Type="http://schemas.openxmlformats.org/officeDocument/2006/relationships/image" Target="../media/image407.png"/><Relationship Id="rId4" Type="http://schemas.openxmlformats.org/officeDocument/2006/relationships/image" Target="../media/image401.png"/><Relationship Id="rId9" Type="http://schemas.openxmlformats.org/officeDocument/2006/relationships/image" Target="../media/image406.png"/><Relationship Id="rId14" Type="http://schemas.openxmlformats.org/officeDocument/2006/relationships/image" Target="../media/image41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16.png"/><Relationship Id="rId1" Type="http://schemas.openxmlformats.org/officeDocument/2006/relationships/image" Target="../media/image415.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29.png"/><Relationship Id="rId2" Type="http://schemas.openxmlformats.org/officeDocument/2006/relationships/image" Target="../media/image428.jpeg"/><Relationship Id="rId1" Type="http://schemas.openxmlformats.org/officeDocument/2006/relationships/image" Target="../media/image427.jpeg"/><Relationship Id="rId4" Type="http://schemas.openxmlformats.org/officeDocument/2006/relationships/image" Target="../media/image430.jpeg"/></Relationships>
</file>

<file path=xl/drawings/_rels/drawing28.xml.rels><?xml version="1.0" encoding="UTF-8" standalone="yes"?>
<Relationships xmlns="http://schemas.openxmlformats.org/package/2006/relationships"><Relationship Id="rId13" Type="http://schemas.openxmlformats.org/officeDocument/2006/relationships/image" Target="../media/image443.png"/><Relationship Id="rId18" Type="http://schemas.openxmlformats.org/officeDocument/2006/relationships/image" Target="../media/image448.png"/><Relationship Id="rId26" Type="http://schemas.openxmlformats.org/officeDocument/2006/relationships/image" Target="../media/image456.png"/><Relationship Id="rId3" Type="http://schemas.openxmlformats.org/officeDocument/2006/relationships/image" Target="../media/image433.jpeg"/><Relationship Id="rId21" Type="http://schemas.openxmlformats.org/officeDocument/2006/relationships/image" Target="../media/image451.jpeg"/><Relationship Id="rId34" Type="http://schemas.openxmlformats.org/officeDocument/2006/relationships/image" Target="../media/image464.jpeg"/><Relationship Id="rId7" Type="http://schemas.openxmlformats.org/officeDocument/2006/relationships/image" Target="../media/image437.jpeg"/><Relationship Id="rId12" Type="http://schemas.openxmlformats.org/officeDocument/2006/relationships/image" Target="../media/image442.png"/><Relationship Id="rId17" Type="http://schemas.openxmlformats.org/officeDocument/2006/relationships/image" Target="../media/image447.png"/><Relationship Id="rId25" Type="http://schemas.openxmlformats.org/officeDocument/2006/relationships/image" Target="../media/image455.png"/><Relationship Id="rId33" Type="http://schemas.openxmlformats.org/officeDocument/2006/relationships/image" Target="../media/image463.jpeg"/><Relationship Id="rId2" Type="http://schemas.openxmlformats.org/officeDocument/2006/relationships/image" Target="../media/image432.jpeg"/><Relationship Id="rId16" Type="http://schemas.openxmlformats.org/officeDocument/2006/relationships/image" Target="../media/image446.jpeg"/><Relationship Id="rId20" Type="http://schemas.openxmlformats.org/officeDocument/2006/relationships/image" Target="../media/image450.png"/><Relationship Id="rId29" Type="http://schemas.openxmlformats.org/officeDocument/2006/relationships/image" Target="../media/image459.png"/><Relationship Id="rId1" Type="http://schemas.openxmlformats.org/officeDocument/2006/relationships/image" Target="../media/image431.jpeg"/><Relationship Id="rId6" Type="http://schemas.openxmlformats.org/officeDocument/2006/relationships/image" Target="../media/image436.jpeg"/><Relationship Id="rId11" Type="http://schemas.openxmlformats.org/officeDocument/2006/relationships/image" Target="../media/image441.png"/><Relationship Id="rId24" Type="http://schemas.openxmlformats.org/officeDocument/2006/relationships/image" Target="../media/image454.png"/><Relationship Id="rId32" Type="http://schemas.openxmlformats.org/officeDocument/2006/relationships/image" Target="../media/image462.jpeg"/><Relationship Id="rId5" Type="http://schemas.openxmlformats.org/officeDocument/2006/relationships/image" Target="../media/image435.jpeg"/><Relationship Id="rId15" Type="http://schemas.openxmlformats.org/officeDocument/2006/relationships/image" Target="../media/image445.png"/><Relationship Id="rId23" Type="http://schemas.openxmlformats.org/officeDocument/2006/relationships/image" Target="../media/image453.png"/><Relationship Id="rId28" Type="http://schemas.openxmlformats.org/officeDocument/2006/relationships/image" Target="../media/image458.png"/><Relationship Id="rId10" Type="http://schemas.openxmlformats.org/officeDocument/2006/relationships/image" Target="../media/image440.jpeg"/><Relationship Id="rId19" Type="http://schemas.openxmlformats.org/officeDocument/2006/relationships/image" Target="../media/image449.png"/><Relationship Id="rId31" Type="http://schemas.openxmlformats.org/officeDocument/2006/relationships/image" Target="../media/image461.png"/><Relationship Id="rId4" Type="http://schemas.openxmlformats.org/officeDocument/2006/relationships/image" Target="../media/image434.jpeg"/><Relationship Id="rId9" Type="http://schemas.openxmlformats.org/officeDocument/2006/relationships/image" Target="../media/image439.png"/><Relationship Id="rId14" Type="http://schemas.openxmlformats.org/officeDocument/2006/relationships/image" Target="../media/image444.jpeg"/><Relationship Id="rId22" Type="http://schemas.openxmlformats.org/officeDocument/2006/relationships/image" Target="../media/image452.jpeg"/><Relationship Id="rId27" Type="http://schemas.openxmlformats.org/officeDocument/2006/relationships/image" Target="../media/image457.png"/><Relationship Id="rId30" Type="http://schemas.openxmlformats.org/officeDocument/2006/relationships/image" Target="../media/image460.png"/><Relationship Id="rId35" Type="http://schemas.openxmlformats.org/officeDocument/2006/relationships/image" Target="../media/image465.png"/><Relationship Id="rId8" Type="http://schemas.openxmlformats.org/officeDocument/2006/relationships/image" Target="../media/image438.png"/></Relationships>
</file>

<file path=xl/drawings/_rels/drawing29.xml.rels><?xml version="1.0" encoding="UTF-8" standalone="yes"?>
<Relationships xmlns="http://schemas.openxmlformats.org/package/2006/relationships"><Relationship Id="rId8" Type="http://schemas.openxmlformats.org/officeDocument/2006/relationships/image" Target="../media/image473.png"/><Relationship Id="rId13" Type="http://schemas.openxmlformats.org/officeDocument/2006/relationships/image" Target="../media/image478.jpeg"/><Relationship Id="rId18" Type="http://schemas.openxmlformats.org/officeDocument/2006/relationships/image" Target="../media/image483.png"/><Relationship Id="rId3" Type="http://schemas.openxmlformats.org/officeDocument/2006/relationships/image" Target="../media/image468.jpeg"/><Relationship Id="rId21" Type="http://schemas.openxmlformats.org/officeDocument/2006/relationships/image" Target="../media/image486.png"/><Relationship Id="rId7" Type="http://schemas.openxmlformats.org/officeDocument/2006/relationships/image" Target="../media/image472.png"/><Relationship Id="rId12" Type="http://schemas.openxmlformats.org/officeDocument/2006/relationships/image" Target="../media/image477.jpeg"/><Relationship Id="rId17" Type="http://schemas.openxmlformats.org/officeDocument/2006/relationships/image" Target="../media/image482.png"/><Relationship Id="rId2" Type="http://schemas.openxmlformats.org/officeDocument/2006/relationships/image" Target="../media/image467.jpeg"/><Relationship Id="rId16" Type="http://schemas.openxmlformats.org/officeDocument/2006/relationships/image" Target="../media/image481.png"/><Relationship Id="rId20" Type="http://schemas.openxmlformats.org/officeDocument/2006/relationships/image" Target="../media/image485.png"/><Relationship Id="rId1" Type="http://schemas.openxmlformats.org/officeDocument/2006/relationships/image" Target="../media/image466.jpeg"/><Relationship Id="rId6" Type="http://schemas.openxmlformats.org/officeDocument/2006/relationships/image" Target="../media/image471.png"/><Relationship Id="rId11" Type="http://schemas.openxmlformats.org/officeDocument/2006/relationships/image" Target="../media/image476.png"/><Relationship Id="rId5" Type="http://schemas.openxmlformats.org/officeDocument/2006/relationships/image" Target="../media/image470.png"/><Relationship Id="rId15" Type="http://schemas.openxmlformats.org/officeDocument/2006/relationships/image" Target="../media/image480.png"/><Relationship Id="rId10" Type="http://schemas.openxmlformats.org/officeDocument/2006/relationships/image" Target="../media/image475.png"/><Relationship Id="rId19" Type="http://schemas.openxmlformats.org/officeDocument/2006/relationships/image" Target="../media/image484.png"/><Relationship Id="rId4" Type="http://schemas.openxmlformats.org/officeDocument/2006/relationships/image" Target="../media/image469.jpeg"/><Relationship Id="rId9" Type="http://schemas.openxmlformats.org/officeDocument/2006/relationships/image" Target="../media/image474.jpeg"/><Relationship Id="rId14" Type="http://schemas.openxmlformats.org/officeDocument/2006/relationships/image" Target="../media/image47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30.xml.rels><?xml version="1.0" encoding="UTF-8" standalone="yes"?>
<Relationships xmlns="http://schemas.openxmlformats.org/package/2006/relationships"><Relationship Id="rId8" Type="http://schemas.openxmlformats.org/officeDocument/2006/relationships/image" Target="../media/image494.png"/><Relationship Id="rId3" Type="http://schemas.openxmlformats.org/officeDocument/2006/relationships/image" Target="../media/image489.jpeg"/><Relationship Id="rId7" Type="http://schemas.openxmlformats.org/officeDocument/2006/relationships/image" Target="../media/image493.png"/><Relationship Id="rId2" Type="http://schemas.openxmlformats.org/officeDocument/2006/relationships/image" Target="../media/image488.jpeg"/><Relationship Id="rId1" Type="http://schemas.openxmlformats.org/officeDocument/2006/relationships/image" Target="../media/image487.jpeg"/><Relationship Id="rId6" Type="http://schemas.openxmlformats.org/officeDocument/2006/relationships/image" Target="../media/image492.jpeg"/><Relationship Id="rId5" Type="http://schemas.openxmlformats.org/officeDocument/2006/relationships/image" Target="../media/image491.png"/><Relationship Id="rId10" Type="http://schemas.openxmlformats.org/officeDocument/2006/relationships/image" Target="../media/image496.png"/><Relationship Id="rId4" Type="http://schemas.openxmlformats.org/officeDocument/2006/relationships/image" Target="../media/image490.jpeg"/><Relationship Id="rId9" Type="http://schemas.openxmlformats.org/officeDocument/2006/relationships/image" Target="../media/image495.png"/></Relationships>
</file>

<file path=xl/drawings/_rels/drawing31.xml.rels><?xml version="1.0" encoding="UTF-8" standalone="yes"?>
<Relationships xmlns="http://schemas.openxmlformats.org/package/2006/relationships"><Relationship Id="rId8" Type="http://schemas.openxmlformats.org/officeDocument/2006/relationships/image" Target="../media/image504.png"/><Relationship Id="rId13" Type="http://schemas.openxmlformats.org/officeDocument/2006/relationships/image" Target="../media/image509.png"/><Relationship Id="rId3" Type="http://schemas.openxmlformats.org/officeDocument/2006/relationships/image" Target="../media/image499.png"/><Relationship Id="rId7" Type="http://schemas.openxmlformats.org/officeDocument/2006/relationships/image" Target="../media/image503.png"/><Relationship Id="rId12" Type="http://schemas.openxmlformats.org/officeDocument/2006/relationships/image" Target="../media/image508.png"/><Relationship Id="rId17" Type="http://schemas.openxmlformats.org/officeDocument/2006/relationships/image" Target="../media/image513.png"/><Relationship Id="rId2" Type="http://schemas.openxmlformats.org/officeDocument/2006/relationships/image" Target="../media/image498.jpeg"/><Relationship Id="rId16" Type="http://schemas.openxmlformats.org/officeDocument/2006/relationships/image" Target="../media/image512.png"/><Relationship Id="rId1" Type="http://schemas.openxmlformats.org/officeDocument/2006/relationships/image" Target="../media/image497.jpeg"/><Relationship Id="rId6" Type="http://schemas.openxmlformats.org/officeDocument/2006/relationships/image" Target="../media/image502.png"/><Relationship Id="rId11" Type="http://schemas.openxmlformats.org/officeDocument/2006/relationships/image" Target="../media/image507.png"/><Relationship Id="rId5" Type="http://schemas.openxmlformats.org/officeDocument/2006/relationships/image" Target="../media/image501.jpeg"/><Relationship Id="rId15" Type="http://schemas.openxmlformats.org/officeDocument/2006/relationships/image" Target="../media/image511.png"/><Relationship Id="rId10" Type="http://schemas.openxmlformats.org/officeDocument/2006/relationships/image" Target="../media/image506.png"/><Relationship Id="rId4" Type="http://schemas.openxmlformats.org/officeDocument/2006/relationships/image" Target="../media/image500.jpeg"/><Relationship Id="rId9" Type="http://schemas.openxmlformats.org/officeDocument/2006/relationships/image" Target="../media/image505.png"/><Relationship Id="rId14" Type="http://schemas.openxmlformats.org/officeDocument/2006/relationships/image" Target="../media/image510.png"/></Relationships>
</file>

<file path=xl/drawings/_rels/drawing32.xml.rels><?xml version="1.0" encoding="UTF-8" standalone="yes"?>
<Relationships xmlns="http://schemas.openxmlformats.org/package/2006/relationships"><Relationship Id="rId8" Type="http://schemas.openxmlformats.org/officeDocument/2006/relationships/image" Target="../media/image521.png"/><Relationship Id="rId13" Type="http://schemas.openxmlformats.org/officeDocument/2006/relationships/image" Target="../media/image526.png"/><Relationship Id="rId3" Type="http://schemas.openxmlformats.org/officeDocument/2006/relationships/image" Target="../media/image516.png"/><Relationship Id="rId7" Type="http://schemas.openxmlformats.org/officeDocument/2006/relationships/image" Target="../media/image520.png"/><Relationship Id="rId12" Type="http://schemas.openxmlformats.org/officeDocument/2006/relationships/image" Target="../media/image525.png"/><Relationship Id="rId2" Type="http://schemas.openxmlformats.org/officeDocument/2006/relationships/image" Target="../media/image515.png"/><Relationship Id="rId1" Type="http://schemas.openxmlformats.org/officeDocument/2006/relationships/image" Target="../media/image514.jpeg"/><Relationship Id="rId6" Type="http://schemas.openxmlformats.org/officeDocument/2006/relationships/image" Target="../media/image519.png"/><Relationship Id="rId11" Type="http://schemas.openxmlformats.org/officeDocument/2006/relationships/image" Target="../media/image524.png"/><Relationship Id="rId5" Type="http://schemas.openxmlformats.org/officeDocument/2006/relationships/image" Target="../media/image518.png"/><Relationship Id="rId10" Type="http://schemas.openxmlformats.org/officeDocument/2006/relationships/image" Target="../media/image523.png"/><Relationship Id="rId4" Type="http://schemas.openxmlformats.org/officeDocument/2006/relationships/image" Target="../media/image517.png"/><Relationship Id="rId9" Type="http://schemas.openxmlformats.org/officeDocument/2006/relationships/image" Target="../media/image522.png"/><Relationship Id="rId14" Type="http://schemas.openxmlformats.org/officeDocument/2006/relationships/image" Target="../media/image527.png"/></Relationships>
</file>

<file path=xl/drawings/_rels/drawing33.xml.rels><?xml version="1.0" encoding="UTF-8" standalone="yes"?>
<Relationships xmlns="http://schemas.openxmlformats.org/package/2006/relationships"><Relationship Id="rId8" Type="http://schemas.openxmlformats.org/officeDocument/2006/relationships/image" Target="../media/image534.png"/><Relationship Id="rId13" Type="http://schemas.openxmlformats.org/officeDocument/2006/relationships/image" Target="../media/image539.png"/><Relationship Id="rId18" Type="http://schemas.openxmlformats.org/officeDocument/2006/relationships/image" Target="../media/image544.png"/><Relationship Id="rId3" Type="http://schemas.openxmlformats.org/officeDocument/2006/relationships/image" Target="../media/image530.png"/><Relationship Id="rId21" Type="http://schemas.openxmlformats.org/officeDocument/2006/relationships/image" Target="../media/image547.png"/><Relationship Id="rId7" Type="http://schemas.openxmlformats.org/officeDocument/2006/relationships/image" Target="../media/image533.png"/><Relationship Id="rId12" Type="http://schemas.openxmlformats.org/officeDocument/2006/relationships/image" Target="../media/image538.png"/><Relationship Id="rId17" Type="http://schemas.openxmlformats.org/officeDocument/2006/relationships/image" Target="../media/image543.png"/><Relationship Id="rId2" Type="http://schemas.openxmlformats.org/officeDocument/2006/relationships/image" Target="../media/image529.png"/><Relationship Id="rId16" Type="http://schemas.openxmlformats.org/officeDocument/2006/relationships/image" Target="../media/image542.png"/><Relationship Id="rId20" Type="http://schemas.openxmlformats.org/officeDocument/2006/relationships/image" Target="../media/image546.png"/><Relationship Id="rId1" Type="http://schemas.openxmlformats.org/officeDocument/2006/relationships/image" Target="../media/image528.png"/><Relationship Id="rId6" Type="http://schemas.openxmlformats.org/officeDocument/2006/relationships/image" Target="../media/image532.png"/><Relationship Id="rId11" Type="http://schemas.openxmlformats.org/officeDocument/2006/relationships/image" Target="../media/image537.png"/><Relationship Id="rId5" Type="http://schemas.openxmlformats.org/officeDocument/2006/relationships/image" Target="../media/image499.png"/><Relationship Id="rId15" Type="http://schemas.openxmlformats.org/officeDocument/2006/relationships/image" Target="../media/image541.png"/><Relationship Id="rId10" Type="http://schemas.openxmlformats.org/officeDocument/2006/relationships/image" Target="../media/image536.png"/><Relationship Id="rId19" Type="http://schemas.openxmlformats.org/officeDocument/2006/relationships/image" Target="../media/image545.png"/><Relationship Id="rId4" Type="http://schemas.openxmlformats.org/officeDocument/2006/relationships/image" Target="../media/image531.png"/><Relationship Id="rId9" Type="http://schemas.openxmlformats.org/officeDocument/2006/relationships/image" Target="../media/image535.png"/><Relationship Id="rId14" Type="http://schemas.openxmlformats.org/officeDocument/2006/relationships/image" Target="../media/image540.png"/></Relationships>
</file>

<file path=xl/drawings/_rels/drawing34.xml.rels><?xml version="1.0" encoding="UTF-8" standalone="yes"?>
<Relationships xmlns="http://schemas.openxmlformats.org/package/2006/relationships"><Relationship Id="rId2" Type="http://schemas.openxmlformats.org/officeDocument/2006/relationships/image" Target="../media/image549.png"/><Relationship Id="rId1" Type="http://schemas.openxmlformats.org/officeDocument/2006/relationships/image" Target="../media/image548.png"/></Relationships>
</file>

<file path=xl/drawings/_rels/drawing35.xml.rels><?xml version="1.0" encoding="UTF-8" standalone="yes"?>
<Relationships xmlns="http://schemas.openxmlformats.org/package/2006/relationships"><Relationship Id="rId8" Type="http://schemas.openxmlformats.org/officeDocument/2006/relationships/image" Target="../media/image557.png"/><Relationship Id="rId13" Type="http://schemas.openxmlformats.org/officeDocument/2006/relationships/image" Target="../media/image562.png"/><Relationship Id="rId18" Type="http://schemas.openxmlformats.org/officeDocument/2006/relationships/image" Target="../media/image567.jpeg"/><Relationship Id="rId3" Type="http://schemas.openxmlformats.org/officeDocument/2006/relationships/image" Target="../media/image552.png"/><Relationship Id="rId7" Type="http://schemas.openxmlformats.org/officeDocument/2006/relationships/image" Target="../media/image556.png"/><Relationship Id="rId12" Type="http://schemas.openxmlformats.org/officeDocument/2006/relationships/image" Target="../media/image561.png"/><Relationship Id="rId17" Type="http://schemas.openxmlformats.org/officeDocument/2006/relationships/image" Target="../media/image566.jpeg"/><Relationship Id="rId2" Type="http://schemas.openxmlformats.org/officeDocument/2006/relationships/image" Target="../media/image551.png"/><Relationship Id="rId16" Type="http://schemas.openxmlformats.org/officeDocument/2006/relationships/image" Target="../media/image565.png"/><Relationship Id="rId1" Type="http://schemas.openxmlformats.org/officeDocument/2006/relationships/image" Target="../media/image550.jpeg"/><Relationship Id="rId6" Type="http://schemas.openxmlformats.org/officeDocument/2006/relationships/image" Target="../media/image555.png"/><Relationship Id="rId11" Type="http://schemas.openxmlformats.org/officeDocument/2006/relationships/image" Target="../media/image560.png"/><Relationship Id="rId5" Type="http://schemas.openxmlformats.org/officeDocument/2006/relationships/image" Target="../media/image554.png"/><Relationship Id="rId15" Type="http://schemas.openxmlformats.org/officeDocument/2006/relationships/image" Target="../media/image564.png"/><Relationship Id="rId10" Type="http://schemas.openxmlformats.org/officeDocument/2006/relationships/image" Target="../media/image559.png"/><Relationship Id="rId19" Type="http://schemas.openxmlformats.org/officeDocument/2006/relationships/image" Target="../media/image568.png"/><Relationship Id="rId4" Type="http://schemas.openxmlformats.org/officeDocument/2006/relationships/image" Target="../media/image553.png"/><Relationship Id="rId9" Type="http://schemas.openxmlformats.org/officeDocument/2006/relationships/image" Target="../media/image558.png"/><Relationship Id="rId14" Type="http://schemas.openxmlformats.org/officeDocument/2006/relationships/image" Target="../media/image56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2.jpeg"/><Relationship Id="rId7" Type="http://schemas.openxmlformats.org/officeDocument/2006/relationships/image" Target="../media/image26.png"/><Relationship Id="rId2" Type="http://schemas.openxmlformats.org/officeDocument/2006/relationships/image" Target="../media/image21.jpeg"/><Relationship Id="rId1" Type="http://schemas.openxmlformats.org/officeDocument/2006/relationships/image" Target="../media/image20.jpe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8.jpeg"/><Relationship Id="rId1" Type="http://schemas.openxmlformats.org/officeDocument/2006/relationships/image" Target="../media/image27.jpeg"/><Relationship Id="rId4" Type="http://schemas.openxmlformats.org/officeDocument/2006/relationships/image" Target="../media/image30.jpeg"/></Relationships>
</file>

<file path=xl/drawings/_rels/drawing7.xml.rels><?xml version="1.0" encoding="UTF-8" standalone="yes"?>
<Relationships xmlns="http://schemas.openxmlformats.org/package/2006/relationships"><Relationship Id="rId8" Type="http://schemas.openxmlformats.org/officeDocument/2006/relationships/image" Target="../media/image38.jpeg"/><Relationship Id="rId13" Type="http://schemas.openxmlformats.org/officeDocument/2006/relationships/image" Target="../media/image43.jpeg"/><Relationship Id="rId18" Type="http://schemas.openxmlformats.org/officeDocument/2006/relationships/image" Target="../media/image48.jpeg"/><Relationship Id="rId3" Type="http://schemas.openxmlformats.org/officeDocument/2006/relationships/image" Target="../media/image33.jpeg"/><Relationship Id="rId21" Type="http://schemas.openxmlformats.org/officeDocument/2006/relationships/image" Target="../media/image51.jpeg"/><Relationship Id="rId7" Type="http://schemas.openxmlformats.org/officeDocument/2006/relationships/image" Target="../media/image37.jpeg"/><Relationship Id="rId12" Type="http://schemas.openxmlformats.org/officeDocument/2006/relationships/image" Target="../media/image42.jpeg"/><Relationship Id="rId17" Type="http://schemas.openxmlformats.org/officeDocument/2006/relationships/image" Target="../media/image47.jpeg"/><Relationship Id="rId25" Type="http://schemas.openxmlformats.org/officeDocument/2006/relationships/image" Target="../media/image55.jpeg"/><Relationship Id="rId2" Type="http://schemas.openxmlformats.org/officeDocument/2006/relationships/image" Target="../media/image32.jpeg"/><Relationship Id="rId16" Type="http://schemas.openxmlformats.org/officeDocument/2006/relationships/image" Target="../media/image46.jpeg"/><Relationship Id="rId20" Type="http://schemas.openxmlformats.org/officeDocument/2006/relationships/image" Target="../media/image50.jpeg"/><Relationship Id="rId1" Type="http://schemas.openxmlformats.org/officeDocument/2006/relationships/image" Target="../media/image31.jpeg"/><Relationship Id="rId6" Type="http://schemas.openxmlformats.org/officeDocument/2006/relationships/image" Target="../media/image36.jpeg"/><Relationship Id="rId11" Type="http://schemas.openxmlformats.org/officeDocument/2006/relationships/image" Target="../media/image41.jpeg"/><Relationship Id="rId24" Type="http://schemas.openxmlformats.org/officeDocument/2006/relationships/image" Target="../media/image54.jpeg"/><Relationship Id="rId5" Type="http://schemas.openxmlformats.org/officeDocument/2006/relationships/image" Target="../media/image35.jpeg"/><Relationship Id="rId15" Type="http://schemas.openxmlformats.org/officeDocument/2006/relationships/image" Target="../media/image45.jpeg"/><Relationship Id="rId23" Type="http://schemas.openxmlformats.org/officeDocument/2006/relationships/image" Target="../media/image53.jpeg"/><Relationship Id="rId10" Type="http://schemas.openxmlformats.org/officeDocument/2006/relationships/image" Target="../media/image40.jpeg"/><Relationship Id="rId19" Type="http://schemas.openxmlformats.org/officeDocument/2006/relationships/image" Target="../media/image49.jpeg"/><Relationship Id="rId4" Type="http://schemas.openxmlformats.org/officeDocument/2006/relationships/image" Target="../media/image34.jpeg"/><Relationship Id="rId9" Type="http://schemas.openxmlformats.org/officeDocument/2006/relationships/image" Target="../media/image39.jpeg"/><Relationship Id="rId14" Type="http://schemas.openxmlformats.org/officeDocument/2006/relationships/image" Target="../media/image44.jpeg"/><Relationship Id="rId22" Type="http://schemas.openxmlformats.org/officeDocument/2006/relationships/image" Target="../media/image52.jpeg"/></Relationships>
</file>

<file path=xl/drawings/_rels/drawing8.xml.rels><?xml version="1.0" encoding="UTF-8" standalone="yes"?>
<Relationships xmlns="http://schemas.openxmlformats.org/package/2006/relationships"><Relationship Id="rId13" Type="http://schemas.openxmlformats.org/officeDocument/2006/relationships/image" Target="../media/image68.png"/><Relationship Id="rId18" Type="http://schemas.openxmlformats.org/officeDocument/2006/relationships/image" Target="../media/image73.png"/><Relationship Id="rId26" Type="http://schemas.openxmlformats.org/officeDocument/2006/relationships/image" Target="../media/image81.png"/><Relationship Id="rId3" Type="http://schemas.openxmlformats.org/officeDocument/2006/relationships/image" Target="../media/image58.jpeg"/><Relationship Id="rId21" Type="http://schemas.openxmlformats.org/officeDocument/2006/relationships/image" Target="../media/image76.png"/><Relationship Id="rId7" Type="http://schemas.openxmlformats.org/officeDocument/2006/relationships/image" Target="../media/image62.jpeg"/><Relationship Id="rId12" Type="http://schemas.openxmlformats.org/officeDocument/2006/relationships/image" Target="../media/image67.png"/><Relationship Id="rId17" Type="http://schemas.openxmlformats.org/officeDocument/2006/relationships/image" Target="../media/image72.jpeg"/><Relationship Id="rId25" Type="http://schemas.openxmlformats.org/officeDocument/2006/relationships/image" Target="../media/image80.png"/><Relationship Id="rId33" Type="http://schemas.openxmlformats.org/officeDocument/2006/relationships/image" Target="../media/image88.jpeg"/><Relationship Id="rId2" Type="http://schemas.openxmlformats.org/officeDocument/2006/relationships/image" Target="../media/image57.png"/><Relationship Id="rId16" Type="http://schemas.openxmlformats.org/officeDocument/2006/relationships/image" Target="../media/image71.jpeg"/><Relationship Id="rId20" Type="http://schemas.openxmlformats.org/officeDocument/2006/relationships/image" Target="../media/image75.png"/><Relationship Id="rId29" Type="http://schemas.openxmlformats.org/officeDocument/2006/relationships/image" Target="../media/image84.jpeg"/><Relationship Id="rId1" Type="http://schemas.openxmlformats.org/officeDocument/2006/relationships/image" Target="../media/image56.jpeg"/><Relationship Id="rId6" Type="http://schemas.openxmlformats.org/officeDocument/2006/relationships/image" Target="../media/image61.jpeg"/><Relationship Id="rId11" Type="http://schemas.openxmlformats.org/officeDocument/2006/relationships/image" Target="../media/image66.jpeg"/><Relationship Id="rId24" Type="http://schemas.openxmlformats.org/officeDocument/2006/relationships/image" Target="../media/image79.jpeg"/><Relationship Id="rId32" Type="http://schemas.openxmlformats.org/officeDocument/2006/relationships/image" Target="../media/image87.jpeg"/><Relationship Id="rId5" Type="http://schemas.openxmlformats.org/officeDocument/2006/relationships/image" Target="../media/image60.png"/><Relationship Id="rId15" Type="http://schemas.openxmlformats.org/officeDocument/2006/relationships/image" Target="../media/image70.jpeg"/><Relationship Id="rId23" Type="http://schemas.openxmlformats.org/officeDocument/2006/relationships/image" Target="../media/image78.jpeg"/><Relationship Id="rId28" Type="http://schemas.openxmlformats.org/officeDocument/2006/relationships/image" Target="../media/image83.png"/><Relationship Id="rId10" Type="http://schemas.openxmlformats.org/officeDocument/2006/relationships/image" Target="../media/image65.jpeg"/><Relationship Id="rId19" Type="http://schemas.openxmlformats.org/officeDocument/2006/relationships/image" Target="../media/image74.png"/><Relationship Id="rId31" Type="http://schemas.openxmlformats.org/officeDocument/2006/relationships/image" Target="../media/image86.jpeg"/><Relationship Id="rId4" Type="http://schemas.openxmlformats.org/officeDocument/2006/relationships/image" Target="../media/image59.jpeg"/><Relationship Id="rId9" Type="http://schemas.openxmlformats.org/officeDocument/2006/relationships/image" Target="../media/image64.jpeg"/><Relationship Id="rId14" Type="http://schemas.openxmlformats.org/officeDocument/2006/relationships/image" Target="../media/image69.jpeg"/><Relationship Id="rId22" Type="http://schemas.openxmlformats.org/officeDocument/2006/relationships/image" Target="../media/image77.png"/><Relationship Id="rId27" Type="http://schemas.openxmlformats.org/officeDocument/2006/relationships/image" Target="../media/image82.png"/><Relationship Id="rId30" Type="http://schemas.openxmlformats.org/officeDocument/2006/relationships/image" Target="../media/image85.jpeg"/><Relationship Id="rId8" Type="http://schemas.openxmlformats.org/officeDocument/2006/relationships/image" Target="../media/image63.jpeg"/></Relationships>
</file>

<file path=xl/drawings/_rels/drawing9.xml.rels><?xml version="1.0" encoding="UTF-8" standalone="yes"?>
<Relationships xmlns="http://schemas.openxmlformats.org/package/2006/relationships"><Relationship Id="rId8" Type="http://schemas.openxmlformats.org/officeDocument/2006/relationships/image" Target="../media/image96.png"/><Relationship Id="rId13" Type="http://schemas.openxmlformats.org/officeDocument/2006/relationships/image" Target="../media/image101.png"/><Relationship Id="rId18" Type="http://schemas.openxmlformats.org/officeDocument/2006/relationships/image" Target="../media/image106.png"/><Relationship Id="rId3" Type="http://schemas.openxmlformats.org/officeDocument/2006/relationships/image" Target="../media/image91.png"/><Relationship Id="rId21" Type="http://schemas.openxmlformats.org/officeDocument/2006/relationships/image" Target="../media/image109.png"/><Relationship Id="rId7" Type="http://schemas.openxmlformats.org/officeDocument/2006/relationships/image" Target="../media/image95.png"/><Relationship Id="rId12" Type="http://schemas.openxmlformats.org/officeDocument/2006/relationships/image" Target="../media/image100.png"/><Relationship Id="rId17" Type="http://schemas.openxmlformats.org/officeDocument/2006/relationships/image" Target="../media/image105.png"/><Relationship Id="rId25" Type="http://schemas.openxmlformats.org/officeDocument/2006/relationships/image" Target="../media/image113.jpeg"/><Relationship Id="rId2" Type="http://schemas.openxmlformats.org/officeDocument/2006/relationships/image" Target="../media/image90.png"/><Relationship Id="rId16" Type="http://schemas.openxmlformats.org/officeDocument/2006/relationships/image" Target="../media/image104.png"/><Relationship Id="rId20" Type="http://schemas.openxmlformats.org/officeDocument/2006/relationships/image" Target="../media/image108.png"/><Relationship Id="rId1" Type="http://schemas.openxmlformats.org/officeDocument/2006/relationships/image" Target="../media/image89.png"/><Relationship Id="rId6" Type="http://schemas.openxmlformats.org/officeDocument/2006/relationships/image" Target="../media/image94.png"/><Relationship Id="rId11" Type="http://schemas.openxmlformats.org/officeDocument/2006/relationships/image" Target="../media/image99.emf"/><Relationship Id="rId24" Type="http://schemas.openxmlformats.org/officeDocument/2006/relationships/image" Target="../media/image112.jpeg"/><Relationship Id="rId5" Type="http://schemas.openxmlformats.org/officeDocument/2006/relationships/image" Target="../media/image93.png"/><Relationship Id="rId15" Type="http://schemas.openxmlformats.org/officeDocument/2006/relationships/image" Target="../media/image103.jpeg"/><Relationship Id="rId23" Type="http://schemas.openxmlformats.org/officeDocument/2006/relationships/image" Target="../media/image111.png"/><Relationship Id="rId10" Type="http://schemas.openxmlformats.org/officeDocument/2006/relationships/image" Target="../media/image98.png"/><Relationship Id="rId19" Type="http://schemas.openxmlformats.org/officeDocument/2006/relationships/image" Target="../media/image107.png"/><Relationship Id="rId4" Type="http://schemas.openxmlformats.org/officeDocument/2006/relationships/image" Target="../media/image92.png"/><Relationship Id="rId9" Type="http://schemas.openxmlformats.org/officeDocument/2006/relationships/image" Target="../media/image97.png"/><Relationship Id="rId14" Type="http://schemas.openxmlformats.org/officeDocument/2006/relationships/image" Target="../media/image102.jpeg"/><Relationship Id="rId22" Type="http://schemas.openxmlformats.org/officeDocument/2006/relationships/image" Target="../media/image1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 Id="rId4" Type="http://schemas.openxmlformats.org/officeDocument/2006/relationships/image" Target="../media/image16.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32.vml.rels><?xml version="1.0" encoding="UTF-8" standalone="yes"?>
<Relationships xmlns="http://schemas.openxmlformats.org/package/2006/relationships"><Relationship Id="rId3" Type="http://schemas.openxmlformats.org/officeDocument/2006/relationships/image" Target="../media/image316.jpeg"/><Relationship Id="rId2" Type="http://schemas.openxmlformats.org/officeDocument/2006/relationships/image" Target="../media/image315.jpeg"/><Relationship Id="rId1" Type="http://schemas.openxmlformats.org/officeDocument/2006/relationships/image" Target="../media/image314.jpeg"/><Relationship Id="rId4" Type="http://schemas.openxmlformats.org/officeDocument/2006/relationships/image" Target="../media/image317.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35.vml.rels><?xml version="1.0" encoding="UTF-8" standalone="yes"?>
<Relationships xmlns="http://schemas.openxmlformats.org/package/2006/relationships"><Relationship Id="rId8" Type="http://schemas.openxmlformats.org/officeDocument/2006/relationships/image" Target="../media/image325.jpeg"/><Relationship Id="rId13" Type="http://schemas.openxmlformats.org/officeDocument/2006/relationships/image" Target="../media/image330.jpeg"/><Relationship Id="rId3" Type="http://schemas.openxmlformats.org/officeDocument/2006/relationships/image" Target="../media/image320.jpeg"/><Relationship Id="rId7" Type="http://schemas.openxmlformats.org/officeDocument/2006/relationships/image" Target="../media/image324.jpeg"/><Relationship Id="rId12" Type="http://schemas.openxmlformats.org/officeDocument/2006/relationships/image" Target="../media/image329.jpeg"/><Relationship Id="rId2" Type="http://schemas.openxmlformats.org/officeDocument/2006/relationships/image" Target="../media/image319.jpeg"/><Relationship Id="rId16" Type="http://schemas.openxmlformats.org/officeDocument/2006/relationships/image" Target="../media/image333.jpeg"/><Relationship Id="rId1" Type="http://schemas.openxmlformats.org/officeDocument/2006/relationships/image" Target="../media/image318.jpeg"/><Relationship Id="rId6" Type="http://schemas.openxmlformats.org/officeDocument/2006/relationships/image" Target="../media/image323.jpeg"/><Relationship Id="rId11" Type="http://schemas.openxmlformats.org/officeDocument/2006/relationships/image" Target="../media/image328.jpeg"/><Relationship Id="rId5" Type="http://schemas.openxmlformats.org/officeDocument/2006/relationships/image" Target="../media/image322.jpeg"/><Relationship Id="rId15" Type="http://schemas.openxmlformats.org/officeDocument/2006/relationships/image" Target="../media/image332.jpeg"/><Relationship Id="rId10" Type="http://schemas.openxmlformats.org/officeDocument/2006/relationships/image" Target="../media/image327.jpeg"/><Relationship Id="rId4" Type="http://schemas.openxmlformats.org/officeDocument/2006/relationships/image" Target="../media/image321.jpeg"/><Relationship Id="rId9" Type="http://schemas.openxmlformats.org/officeDocument/2006/relationships/image" Target="../media/image326.jpeg"/><Relationship Id="rId14" Type="http://schemas.openxmlformats.org/officeDocument/2006/relationships/image" Target="../media/image33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40.vml.rels><?xml version="1.0" encoding="UTF-8" standalone="yes"?>
<Relationships xmlns="http://schemas.openxmlformats.org/package/2006/relationships"><Relationship Id="rId8" Type="http://schemas.openxmlformats.org/officeDocument/2006/relationships/image" Target="../media/image379.jpeg"/><Relationship Id="rId13" Type="http://schemas.openxmlformats.org/officeDocument/2006/relationships/image" Target="../media/image384.jpeg"/><Relationship Id="rId3" Type="http://schemas.openxmlformats.org/officeDocument/2006/relationships/image" Target="../media/image374.jpeg"/><Relationship Id="rId7" Type="http://schemas.openxmlformats.org/officeDocument/2006/relationships/image" Target="../media/image378.jpeg"/><Relationship Id="rId12" Type="http://schemas.openxmlformats.org/officeDocument/2006/relationships/image" Target="../media/image383.jpeg"/><Relationship Id="rId2" Type="http://schemas.openxmlformats.org/officeDocument/2006/relationships/image" Target="../media/image373.jpeg"/><Relationship Id="rId16" Type="http://schemas.openxmlformats.org/officeDocument/2006/relationships/image" Target="../media/image387.jpeg"/><Relationship Id="rId1" Type="http://schemas.openxmlformats.org/officeDocument/2006/relationships/image" Target="../media/image372.jpeg"/><Relationship Id="rId6" Type="http://schemas.openxmlformats.org/officeDocument/2006/relationships/image" Target="../media/image377.jpeg"/><Relationship Id="rId11" Type="http://schemas.openxmlformats.org/officeDocument/2006/relationships/image" Target="../media/image382.jpeg"/><Relationship Id="rId5" Type="http://schemas.openxmlformats.org/officeDocument/2006/relationships/image" Target="../media/image376.jpeg"/><Relationship Id="rId15" Type="http://schemas.openxmlformats.org/officeDocument/2006/relationships/image" Target="../media/image386.jpeg"/><Relationship Id="rId10" Type="http://schemas.openxmlformats.org/officeDocument/2006/relationships/image" Target="../media/image381.jpeg"/><Relationship Id="rId4" Type="http://schemas.openxmlformats.org/officeDocument/2006/relationships/image" Target="../media/image375.jpeg"/><Relationship Id="rId9" Type="http://schemas.openxmlformats.org/officeDocument/2006/relationships/image" Target="../media/image380.jpeg"/><Relationship Id="rId14" Type="http://schemas.openxmlformats.org/officeDocument/2006/relationships/image" Target="../media/image38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44.vml.rels><?xml version="1.0" encoding="UTF-8" standalone="yes"?>
<Relationships xmlns="http://schemas.openxmlformats.org/package/2006/relationships"><Relationship Id="rId8" Type="http://schemas.openxmlformats.org/officeDocument/2006/relationships/image" Target="../media/image424.jpeg"/><Relationship Id="rId3" Type="http://schemas.openxmlformats.org/officeDocument/2006/relationships/image" Target="../media/image419.jpeg"/><Relationship Id="rId7" Type="http://schemas.openxmlformats.org/officeDocument/2006/relationships/image" Target="../media/image423.jpeg"/><Relationship Id="rId2" Type="http://schemas.openxmlformats.org/officeDocument/2006/relationships/image" Target="../media/image418.jpeg"/><Relationship Id="rId1" Type="http://schemas.openxmlformats.org/officeDocument/2006/relationships/image" Target="../media/image417.jpeg"/><Relationship Id="rId6" Type="http://schemas.openxmlformats.org/officeDocument/2006/relationships/image" Target="../media/image422.jpeg"/><Relationship Id="rId5" Type="http://schemas.openxmlformats.org/officeDocument/2006/relationships/image" Target="../media/image421.jpeg"/><Relationship Id="rId10" Type="http://schemas.openxmlformats.org/officeDocument/2006/relationships/image" Target="../media/image426.jpeg"/><Relationship Id="rId4" Type="http://schemas.openxmlformats.org/officeDocument/2006/relationships/image" Target="../media/image420.jpeg"/><Relationship Id="rId9" Type="http://schemas.openxmlformats.org/officeDocument/2006/relationships/image" Target="../media/image425.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4</xdr:col>
      <xdr:colOff>1533525</xdr:colOff>
      <xdr:row>19</xdr:row>
      <xdr:rowOff>66675</xdr:rowOff>
    </xdr:from>
    <xdr:to>
      <xdr:col>5</xdr:col>
      <xdr:colOff>371475</xdr:colOff>
      <xdr:row>24</xdr:row>
      <xdr:rowOff>142875</xdr:rowOff>
    </xdr:to>
    <xdr:pic>
      <xdr:nvPicPr>
        <xdr:cNvPr id="812795" name="Рисунок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076700"/>
          <a:ext cx="9239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1533525</xdr:colOff>
      <xdr:row>18</xdr:row>
      <xdr:rowOff>66675</xdr:rowOff>
    </xdr:from>
    <xdr:to>
      <xdr:col>1</xdr:col>
      <xdr:colOff>495300</xdr:colOff>
      <xdr:row>23</xdr:row>
      <xdr:rowOff>133350</xdr:rowOff>
    </xdr:to>
    <xdr:pic>
      <xdr:nvPicPr>
        <xdr:cNvPr id="812796" name="Рисунок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3525" y="3914775"/>
          <a:ext cx="9239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1495425</xdr:colOff>
      <xdr:row>53</xdr:row>
      <xdr:rowOff>19050</xdr:rowOff>
    </xdr:from>
    <xdr:to>
      <xdr:col>1</xdr:col>
      <xdr:colOff>447675</xdr:colOff>
      <xdr:row>58</xdr:row>
      <xdr:rowOff>66675</xdr:rowOff>
    </xdr:to>
    <xdr:pic>
      <xdr:nvPicPr>
        <xdr:cNvPr id="812797" name="Рисунок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95425" y="9810750"/>
          <a:ext cx="9144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1590675</xdr:colOff>
      <xdr:row>50</xdr:row>
      <xdr:rowOff>142875</xdr:rowOff>
    </xdr:from>
    <xdr:to>
      <xdr:col>5</xdr:col>
      <xdr:colOff>419100</xdr:colOff>
      <xdr:row>56</xdr:row>
      <xdr:rowOff>104775</xdr:rowOff>
    </xdr:to>
    <xdr:pic>
      <xdr:nvPicPr>
        <xdr:cNvPr id="812798" name="Рисунок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24600" y="9448800"/>
          <a:ext cx="9144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1571625</xdr:colOff>
      <xdr:row>76</xdr:row>
      <xdr:rowOff>152400</xdr:rowOff>
    </xdr:from>
    <xdr:to>
      <xdr:col>5</xdr:col>
      <xdr:colOff>447675</xdr:colOff>
      <xdr:row>82</xdr:row>
      <xdr:rowOff>123825</xdr:rowOff>
    </xdr:to>
    <xdr:pic>
      <xdr:nvPicPr>
        <xdr:cNvPr id="812799" name="Рисунок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05550" y="13782675"/>
          <a:ext cx="9620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1485900</xdr:colOff>
      <xdr:row>62</xdr:row>
      <xdr:rowOff>38100</xdr:rowOff>
    </xdr:from>
    <xdr:to>
      <xdr:col>1</xdr:col>
      <xdr:colOff>447675</xdr:colOff>
      <xdr:row>67</xdr:row>
      <xdr:rowOff>152400</xdr:rowOff>
    </xdr:to>
    <xdr:pic>
      <xdr:nvPicPr>
        <xdr:cNvPr id="812800" name="Рисунок 9"/>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85900" y="11363325"/>
          <a:ext cx="9239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1628775</xdr:colOff>
      <xdr:row>59</xdr:row>
      <xdr:rowOff>152400</xdr:rowOff>
    </xdr:from>
    <xdr:to>
      <xdr:col>5</xdr:col>
      <xdr:colOff>466725</xdr:colOff>
      <xdr:row>65</xdr:row>
      <xdr:rowOff>47625</xdr:rowOff>
    </xdr:to>
    <xdr:pic>
      <xdr:nvPicPr>
        <xdr:cNvPr id="812801" name="Рисунок 10"/>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362700" y="10953750"/>
          <a:ext cx="9239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1609725</xdr:colOff>
      <xdr:row>68</xdr:row>
      <xdr:rowOff>19050</xdr:rowOff>
    </xdr:from>
    <xdr:to>
      <xdr:col>5</xdr:col>
      <xdr:colOff>476250</xdr:colOff>
      <xdr:row>73</xdr:row>
      <xdr:rowOff>142875</xdr:rowOff>
    </xdr:to>
    <xdr:pic>
      <xdr:nvPicPr>
        <xdr:cNvPr id="812802" name="Picture 3947"/>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343650" y="12353925"/>
          <a:ext cx="9525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1543050</xdr:colOff>
      <xdr:row>36</xdr:row>
      <xdr:rowOff>0</xdr:rowOff>
    </xdr:from>
    <xdr:to>
      <xdr:col>5</xdr:col>
      <xdr:colOff>400050</xdr:colOff>
      <xdr:row>41</xdr:row>
      <xdr:rowOff>133350</xdr:rowOff>
    </xdr:to>
    <xdr:pic>
      <xdr:nvPicPr>
        <xdr:cNvPr id="812803" name="Picture 561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76975" y="7000875"/>
          <a:ext cx="9429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0</xdr:rowOff>
    </xdr:from>
    <xdr:to>
      <xdr:col>1</xdr:col>
      <xdr:colOff>390525</xdr:colOff>
      <xdr:row>4</xdr:row>
      <xdr:rowOff>85725</xdr:rowOff>
    </xdr:to>
    <xdr:pic>
      <xdr:nvPicPr>
        <xdr:cNvPr id="812804" name="Рисунок 11"/>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7625" y="0"/>
          <a:ext cx="23050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219075</xdr:colOff>
      <xdr:row>6</xdr:row>
      <xdr:rowOff>38100</xdr:rowOff>
    </xdr:from>
    <xdr:to>
      <xdr:col>0</xdr:col>
      <xdr:colOff>1047750</xdr:colOff>
      <xdr:row>7</xdr:row>
      <xdr:rowOff>200025</xdr:rowOff>
    </xdr:to>
    <xdr:pic>
      <xdr:nvPicPr>
        <xdr:cNvPr id="843766" name="Picture 68" descr="желоб"/>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85850"/>
          <a:ext cx="8286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10</xdr:row>
      <xdr:rowOff>66675</xdr:rowOff>
    </xdr:from>
    <xdr:to>
      <xdr:col>0</xdr:col>
      <xdr:colOff>923925</xdr:colOff>
      <xdr:row>10</xdr:row>
      <xdr:rowOff>466725</xdr:rowOff>
    </xdr:to>
    <xdr:pic>
      <xdr:nvPicPr>
        <xdr:cNvPr id="843767" name="Picture 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2571750"/>
          <a:ext cx="5810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409575</xdr:colOff>
      <xdr:row>8</xdr:row>
      <xdr:rowOff>38100</xdr:rowOff>
    </xdr:from>
    <xdr:to>
      <xdr:col>0</xdr:col>
      <xdr:colOff>800100</xdr:colOff>
      <xdr:row>8</xdr:row>
      <xdr:rowOff>400050</xdr:rowOff>
    </xdr:to>
    <xdr:pic>
      <xdr:nvPicPr>
        <xdr:cNvPr id="843768" name="Picture 8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9575" y="1628775"/>
          <a:ext cx="3905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11</xdr:row>
      <xdr:rowOff>38100</xdr:rowOff>
    </xdr:from>
    <xdr:to>
      <xdr:col>0</xdr:col>
      <xdr:colOff>923925</xdr:colOff>
      <xdr:row>11</xdr:row>
      <xdr:rowOff>438150</xdr:rowOff>
    </xdr:to>
    <xdr:pic>
      <xdr:nvPicPr>
        <xdr:cNvPr id="843769" name="Picture 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57525"/>
          <a:ext cx="5810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12</xdr:row>
      <xdr:rowOff>57150</xdr:rowOff>
    </xdr:from>
    <xdr:to>
      <xdr:col>0</xdr:col>
      <xdr:colOff>1019175</xdr:colOff>
      <xdr:row>12</xdr:row>
      <xdr:rowOff>485775</xdr:rowOff>
    </xdr:to>
    <xdr:pic>
      <xdr:nvPicPr>
        <xdr:cNvPr id="843770" name="Picture 17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3850" y="3552825"/>
          <a:ext cx="6953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9</xdr:row>
      <xdr:rowOff>38100</xdr:rowOff>
    </xdr:from>
    <xdr:to>
      <xdr:col>0</xdr:col>
      <xdr:colOff>609600</xdr:colOff>
      <xdr:row>10</xdr:row>
      <xdr:rowOff>0</xdr:rowOff>
    </xdr:to>
    <xdr:pic>
      <xdr:nvPicPr>
        <xdr:cNvPr id="843771" name="Picture 71" descr="01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2085975"/>
          <a:ext cx="552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676275</xdr:colOff>
      <xdr:row>9</xdr:row>
      <xdr:rowOff>38100</xdr:rowOff>
    </xdr:from>
    <xdr:to>
      <xdr:col>0</xdr:col>
      <xdr:colOff>1228725</xdr:colOff>
      <xdr:row>10</xdr:row>
      <xdr:rowOff>0</xdr:rowOff>
    </xdr:to>
    <xdr:pic>
      <xdr:nvPicPr>
        <xdr:cNvPr id="843772" name="Picture 72" descr="01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6275" y="2085975"/>
          <a:ext cx="552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523875</xdr:colOff>
      <xdr:row>13</xdr:row>
      <xdr:rowOff>19050</xdr:rowOff>
    </xdr:from>
    <xdr:to>
      <xdr:col>0</xdr:col>
      <xdr:colOff>723900</xdr:colOff>
      <xdr:row>13</xdr:row>
      <xdr:rowOff>390525</xdr:rowOff>
    </xdr:to>
    <xdr:pic>
      <xdr:nvPicPr>
        <xdr:cNvPr id="843773" name="Picture 77" descr="00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3875" y="4038600"/>
          <a:ext cx="2000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16</xdr:row>
      <xdr:rowOff>28575</xdr:rowOff>
    </xdr:from>
    <xdr:to>
      <xdr:col>0</xdr:col>
      <xdr:colOff>885825</xdr:colOff>
      <xdr:row>16</xdr:row>
      <xdr:rowOff>409575</xdr:rowOff>
    </xdr:to>
    <xdr:pic>
      <xdr:nvPicPr>
        <xdr:cNvPr id="843774" name="Picture 2707"/>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61950" y="5381625"/>
          <a:ext cx="5238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14</xdr:row>
      <xdr:rowOff>38100</xdr:rowOff>
    </xdr:from>
    <xdr:to>
      <xdr:col>0</xdr:col>
      <xdr:colOff>685800</xdr:colOff>
      <xdr:row>14</xdr:row>
      <xdr:rowOff>371475</xdr:rowOff>
    </xdr:to>
    <xdr:pic>
      <xdr:nvPicPr>
        <xdr:cNvPr id="843775" name="Picture 5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71500" y="4467225"/>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15</xdr:row>
      <xdr:rowOff>28575</xdr:rowOff>
    </xdr:from>
    <xdr:to>
      <xdr:col>0</xdr:col>
      <xdr:colOff>771525</xdr:colOff>
      <xdr:row>15</xdr:row>
      <xdr:rowOff>466725</xdr:rowOff>
    </xdr:to>
    <xdr:pic>
      <xdr:nvPicPr>
        <xdr:cNvPr id="870400" name="Picture 5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14350" y="4876800"/>
          <a:ext cx="2571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17</xdr:row>
      <xdr:rowOff>133350</xdr:rowOff>
    </xdr:from>
    <xdr:to>
      <xdr:col>0</xdr:col>
      <xdr:colOff>942975</xdr:colOff>
      <xdr:row>19</xdr:row>
      <xdr:rowOff>161925</xdr:rowOff>
    </xdr:to>
    <xdr:pic>
      <xdr:nvPicPr>
        <xdr:cNvPr id="870401" name="Picture 76" descr="01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57175" y="5905500"/>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21</xdr:row>
      <xdr:rowOff>123825</xdr:rowOff>
    </xdr:from>
    <xdr:to>
      <xdr:col>0</xdr:col>
      <xdr:colOff>923925</xdr:colOff>
      <xdr:row>22</xdr:row>
      <xdr:rowOff>133350</xdr:rowOff>
    </xdr:to>
    <xdr:pic>
      <xdr:nvPicPr>
        <xdr:cNvPr id="870402" name="Picture 8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95275" y="6772275"/>
          <a:ext cx="628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23</xdr:row>
      <xdr:rowOff>95250</xdr:rowOff>
    </xdr:from>
    <xdr:to>
      <xdr:col>0</xdr:col>
      <xdr:colOff>885825</xdr:colOff>
      <xdr:row>23</xdr:row>
      <xdr:rowOff>438150</xdr:rowOff>
    </xdr:to>
    <xdr:pic>
      <xdr:nvPicPr>
        <xdr:cNvPr id="870403" name="Picture 88"/>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90525" y="7305675"/>
          <a:ext cx="495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400050</xdr:colOff>
      <xdr:row>25</xdr:row>
      <xdr:rowOff>85725</xdr:rowOff>
    </xdr:from>
    <xdr:to>
      <xdr:col>0</xdr:col>
      <xdr:colOff>809625</xdr:colOff>
      <xdr:row>25</xdr:row>
      <xdr:rowOff>409575</xdr:rowOff>
    </xdr:to>
    <xdr:pic>
      <xdr:nvPicPr>
        <xdr:cNvPr id="870404" name="Picture 90"/>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00050" y="8353425"/>
          <a:ext cx="4095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32</xdr:row>
      <xdr:rowOff>19050</xdr:rowOff>
    </xdr:from>
    <xdr:to>
      <xdr:col>0</xdr:col>
      <xdr:colOff>1076325</xdr:colOff>
      <xdr:row>32</xdr:row>
      <xdr:rowOff>390525</xdr:rowOff>
    </xdr:to>
    <xdr:pic>
      <xdr:nvPicPr>
        <xdr:cNvPr id="870405" name="Picture 701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38125" y="10668000"/>
          <a:ext cx="8382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447675</xdr:colOff>
      <xdr:row>30</xdr:row>
      <xdr:rowOff>19050</xdr:rowOff>
    </xdr:from>
    <xdr:to>
      <xdr:col>0</xdr:col>
      <xdr:colOff>904875</xdr:colOff>
      <xdr:row>30</xdr:row>
      <xdr:rowOff>314325</xdr:rowOff>
    </xdr:to>
    <xdr:pic>
      <xdr:nvPicPr>
        <xdr:cNvPr id="870406" name="Picture 268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47675" y="9629775"/>
          <a:ext cx="457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228600</xdr:colOff>
      <xdr:row>31</xdr:row>
      <xdr:rowOff>57150</xdr:rowOff>
    </xdr:from>
    <xdr:to>
      <xdr:col>0</xdr:col>
      <xdr:colOff>1066800</xdr:colOff>
      <xdr:row>31</xdr:row>
      <xdr:rowOff>352425</xdr:rowOff>
    </xdr:to>
    <xdr:pic>
      <xdr:nvPicPr>
        <xdr:cNvPr id="870407" name="Picture 381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28600" y="10182225"/>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342900</xdr:colOff>
      <xdr:row>6</xdr:row>
      <xdr:rowOff>28575</xdr:rowOff>
    </xdr:from>
    <xdr:to>
      <xdr:col>7</xdr:col>
      <xdr:colOff>847725</xdr:colOff>
      <xdr:row>7</xdr:row>
      <xdr:rowOff>219075</xdr:rowOff>
    </xdr:to>
    <xdr:pic>
      <xdr:nvPicPr>
        <xdr:cNvPr id="870408" name="Picture 8688"/>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001000" y="1076325"/>
          <a:ext cx="5048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447675</xdr:colOff>
      <xdr:row>8</xdr:row>
      <xdr:rowOff>28575</xdr:rowOff>
    </xdr:from>
    <xdr:to>
      <xdr:col>7</xdr:col>
      <xdr:colOff>923925</xdr:colOff>
      <xdr:row>8</xdr:row>
      <xdr:rowOff>428625</xdr:rowOff>
    </xdr:to>
    <xdr:pic>
      <xdr:nvPicPr>
        <xdr:cNvPr id="870409" name="Picture 8690"/>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105775" y="1619250"/>
          <a:ext cx="476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9</xdr:row>
      <xdr:rowOff>19050</xdr:rowOff>
    </xdr:from>
    <xdr:to>
      <xdr:col>7</xdr:col>
      <xdr:colOff>1209675</xdr:colOff>
      <xdr:row>9</xdr:row>
      <xdr:rowOff>428625</xdr:rowOff>
    </xdr:to>
    <xdr:pic>
      <xdr:nvPicPr>
        <xdr:cNvPr id="870410" name="Picture 8692"/>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915275" y="2066925"/>
          <a:ext cx="9525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390525</xdr:colOff>
      <xdr:row>10</xdr:row>
      <xdr:rowOff>28575</xdr:rowOff>
    </xdr:from>
    <xdr:to>
      <xdr:col>7</xdr:col>
      <xdr:colOff>1057275</xdr:colOff>
      <xdr:row>10</xdr:row>
      <xdr:rowOff>476250</xdr:rowOff>
    </xdr:to>
    <xdr:pic>
      <xdr:nvPicPr>
        <xdr:cNvPr id="870411" name="Picture 8696"/>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048625" y="2533650"/>
          <a:ext cx="666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371475</xdr:colOff>
      <xdr:row>11</xdr:row>
      <xdr:rowOff>47625</xdr:rowOff>
    </xdr:from>
    <xdr:to>
      <xdr:col>7</xdr:col>
      <xdr:colOff>1038225</xdr:colOff>
      <xdr:row>11</xdr:row>
      <xdr:rowOff>438150</xdr:rowOff>
    </xdr:to>
    <xdr:pic>
      <xdr:nvPicPr>
        <xdr:cNvPr id="870412" name="Picture 8698"/>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8029575" y="3067050"/>
          <a:ext cx="6667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12</xdr:row>
      <xdr:rowOff>28575</xdr:rowOff>
    </xdr:from>
    <xdr:to>
      <xdr:col>7</xdr:col>
      <xdr:colOff>838200</xdr:colOff>
      <xdr:row>12</xdr:row>
      <xdr:rowOff>504825</xdr:rowOff>
    </xdr:to>
    <xdr:pic>
      <xdr:nvPicPr>
        <xdr:cNvPr id="870413" name="Picture 8702"/>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8143875" y="3524250"/>
          <a:ext cx="3524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13</xdr:row>
      <xdr:rowOff>76200</xdr:rowOff>
    </xdr:from>
    <xdr:to>
      <xdr:col>7</xdr:col>
      <xdr:colOff>828675</xdr:colOff>
      <xdr:row>14</xdr:row>
      <xdr:rowOff>200025</xdr:rowOff>
    </xdr:to>
    <xdr:pic>
      <xdr:nvPicPr>
        <xdr:cNvPr id="870414" name="Picture 8704"/>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8201025" y="4095750"/>
          <a:ext cx="285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333375</xdr:colOff>
      <xdr:row>15</xdr:row>
      <xdr:rowOff>114300</xdr:rowOff>
    </xdr:from>
    <xdr:to>
      <xdr:col>7</xdr:col>
      <xdr:colOff>1000125</xdr:colOff>
      <xdr:row>16</xdr:row>
      <xdr:rowOff>133350</xdr:rowOff>
    </xdr:to>
    <xdr:pic>
      <xdr:nvPicPr>
        <xdr:cNvPr id="870415" name="Picture 8706"/>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991475" y="4962525"/>
          <a:ext cx="6667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228600</xdr:colOff>
      <xdr:row>17</xdr:row>
      <xdr:rowOff>180975</xdr:rowOff>
    </xdr:from>
    <xdr:to>
      <xdr:col>7</xdr:col>
      <xdr:colOff>1181100</xdr:colOff>
      <xdr:row>19</xdr:row>
      <xdr:rowOff>114300</xdr:rowOff>
    </xdr:to>
    <xdr:pic>
      <xdr:nvPicPr>
        <xdr:cNvPr id="870416" name="Picture 8708"/>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886700" y="5953125"/>
          <a:ext cx="9525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438150</xdr:colOff>
      <xdr:row>21</xdr:row>
      <xdr:rowOff>38100</xdr:rowOff>
    </xdr:from>
    <xdr:to>
      <xdr:col>7</xdr:col>
      <xdr:colOff>914400</xdr:colOff>
      <xdr:row>22</xdr:row>
      <xdr:rowOff>238125</xdr:rowOff>
    </xdr:to>
    <xdr:pic>
      <xdr:nvPicPr>
        <xdr:cNvPr id="870417" name="Picture 8712"/>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096250" y="6686550"/>
          <a:ext cx="4762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495300</xdr:colOff>
      <xdr:row>23</xdr:row>
      <xdr:rowOff>38100</xdr:rowOff>
    </xdr:from>
    <xdr:to>
      <xdr:col>7</xdr:col>
      <xdr:colOff>971550</xdr:colOff>
      <xdr:row>23</xdr:row>
      <xdr:rowOff>523875</xdr:rowOff>
    </xdr:to>
    <xdr:pic>
      <xdr:nvPicPr>
        <xdr:cNvPr id="870418" name="Picture 8714"/>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153400" y="7248525"/>
          <a:ext cx="4762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438150</xdr:colOff>
      <xdr:row>24</xdr:row>
      <xdr:rowOff>38100</xdr:rowOff>
    </xdr:from>
    <xdr:to>
      <xdr:col>7</xdr:col>
      <xdr:colOff>914400</xdr:colOff>
      <xdr:row>24</xdr:row>
      <xdr:rowOff>457200</xdr:rowOff>
    </xdr:to>
    <xdr:pic>
      <xdr:nvPicPr>
        <xdr:cNvPr id="870419" name="Picture 8716"/>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096250" y="7810500"/>
          <a:ext cx="4762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428625</xdr:colOff>
      <xdr:row>25</xdr:row>
      <xdr:rowOff>38100</xdr:rowOff>
    </xdr:from>
    <xdr:to>
      <xdr:col>7</xdr:col>
      <xdr:colOff>904875</xdr:colOff>
      <xdr:row>25</xdr:row>
      <xdr:rowOff>438150</xdr:rowOff>
    </xdr:to>
    <xdr:pic>
      <xdr:nvPicPr>
        <xdr:cNvPr id="870420" name="Picture 8718"/>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086725" y="8305800"/>
          <a:ext cx="476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33</xdr:row>
      <xdr:rowOff>28575</xdr:rowOff>
    </xdr:from>
    <xdr:to>
      <xdr:col>0</xdr:col>
      <xdr:colOff>809625</xdr:colOff>
      <xdr:row>33</xdr:row>
      <xdr:rowOff>419100</xdr:rowOff>
    </xdr:to>
    <xdr:pic>
      <xdr:nvPicPr>
        <xdr:cNvPr id="870421" name="Рисунок 34" descr="47511d4f113b29af7f2662e6449e818e.jpg"/>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76250" y="11077575"/>
          <a:ext cx="3333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26</xdr:row>
      <xdr:rowOff>28575</xdr:rowOff>
    </xdr:from>
    <xdr:to>
      <xdr:col>0</xdr:col>
      <xdr:colOff>723900</xdr:colOff>
      <xdr:row>26</xdr:row>
      <xdr:rowOff>438150</xdr:rowOff>
    </xdr:to>
    <xdr:pic>
      <xdr:nvPicPr>
        <xdr:cNvPr id="870422" name="Picture 34"/>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t="35014" r="63420"/>
        <a:stretch>
          <a:fillRect/>
        </a:stretch>
      </xdr:blipFill>
      <xdr:spPr bwMode="auto">
        <a:xfrm>
          <a:off x="390525" y="8753475"/>
          <a:ext cx="3333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314325</xdr:colOff>
      <xdr:row>24</xdr:row>
      <xdr:rowOff>38100</xdr:rowOff>
    </xdr:from>
    <xdr:to>
      <xdr:col>0</xdr:col>
      <xdr:colOff>838200</xdr:colOff>
      <xdr:row>24</xdr:row>
      <xdr:rowOff>428625</xdr:rowOff>
    </xdr:to>
    <xdr:pic>
      <xdr:nvPicPr>
        <xdr:cNvPr id="870423" name="Picture 69"/>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14325" y="7810500"/>
          <a:ext cx="523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533400</xdr:colOff>
      <xdr:row>26</xdr:row>
      <xdr:rowOff>28575</xdr:rowOff>
    </xdr:from>
    <xdr:to>
      <xdr:col>7</xdr:col>
      <xdr:colOff>857250</xdr:colOff>
      <xdr:row>26</xdr:row>
      <xdr:rowOff>457200</xdr:rowOff>
    </xdr:to>
    <xdr:pic>
      <xdr:nvPicPr>
        <xdr:cNvPr id="870424" name="Рисунок 1"/>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8191500" y="8753475"/>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323850</xdr:colOff>
      <xdr:row>22</xdr:row>
      <xdr:rowOff>28575</xdr:rowOff>
    </xdr:from>
    <xdr:to>
      <xdr:col>6</xdr:col>
      <xdr:colOff>800100</xdr:colOff>
      <xdr:row>22</xdr:row>
      <xdr:rowOff>323850</xdr:rowOff>
    </xdr:to>
    <xdr:pic>
      <xdr:nvPicPr>
        <xdr:cNvPr id="857308" name="Picture 268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6619875"/>
          <a:ext cx="476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6</xdr:col>
      <xdr:colOff>95250</xdr:colOff>
      <xdr:row>23</xdr:row>
      <xdr:rowOff>28575</xdr:rowOff>
    </xdr:from>
    <xdr:to>
      <xdr:col>6</xdr:col>
      <xdr:colOff>981075</xdr:colOff>
      <xdr:row>23</xdr:row>
      <xdr:rowOff>333375</xdr:rowOff>
    </xdr:to>
    <xdr:pic>
      <xdr:nvPicPr>
        <xdr:cNvPr id="857309" name="Picture 38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6981825"/>
          <a:ext cx="8858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5</xdr:row>
      <xdr:rowOff>95250</xdr:rowOff>
    </xdr:from>
    <xdr:to>
      <xdr:col>0</xdr:col>
      <xdr:colOff>876300</xdr:colOff>
      <xdr:row>6</xdr:row>
      <xdr:rowOff>209550</xdr:rowOff>
    </xdr:to>
    <xdr:pic>
      <xdr:nvPicPr>
        <xdr:cNvPr id="857310" name="Picture 959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 y="1047750"/>
          <a:ext cx="7048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7</xdr:row>
      <xdr:rowOff>57150</xdr:rowOff>
    </xdr:from>
    <xdr:to>
      <xdr:col>0</xdr:col>
      <xdr:colOff>914400</xdr:colOff>
      <xdr:row>8</xdr:row>
      <xdr:rowOff>152400</xdr:rowOff>
    </xdr:to>
    <xdr:pic>
      <xdr:nvPicPr>
        <xdr:cNvPr id="857311" name="Picture 960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9550" y="1695450"/>
          <a:ext cx="7048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9</xdr:row>
      <xdr:rowOff>85725</xdr:rowOff>
    </xdr:from>
    <xdr:to>
      <xdr:col>0</xdr:col>
      <xdr:colOff>857250</xdr:colOff>
      <xdr:row>10</xdr:row>
      <xdr:rowOff>219075</xdr:rowOff>
    </xdr:to>
    <xdr:pic>
      <xdr:nvPicPr>
        <xdr:cNvPr id="857312" name="Picture 960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2875" y="2409825"/>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11</xdr:row>
      <xdr:rowOff>152400</xdr:rowOff>
    </xdr:from>
    <xdr:to>
      <xdr:col>0</xdr:col>
      <xdr:colOff>952500</xdr:colOff>
      <xdr:row>12</xdr:row>
      <xdr:rowOff>142875</xdr:rowOff>
    </xdr:to>
    <xdr:pic>
      <xdr:nvPicPr>
        <xdr:cNvPr id="857313" name="Picture 960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3350" y="3162300"/>
          <a:ext cx="819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13</xdr:row>
      <xdr:rowOff>133350</xdr:rowOff>
    </xdr:from>
    <xdr:to>
      <xdr:col>0</xdr:col>
      <xdr:colOff>914400</xdr:colOff>
      <xdr:row>14</xdr:row>
      <xdr:rowOff>161925</xdr:rowOff>
    </xdr:to>
    <xdr:pic>
      <xdr:nvPicPr>
        <xdr:cNvPr id="857314" name="Picture 960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9550" y="3829050"/>
          <a:ext cx="7048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15</xdr:row>
      <xdr:rowOff>133350</xdr:rowOff>
    </xdr:from>
    <xdr:to>
      <xdr:col>0</xdr:col>
      <xdr:colOff>723900</xdr:colOff>
      <xdr:row>16</xdr:row>
      <xdr:rowOff>219075</xdr:rowOff>
    </xdr:to>
    <xdr:pic>
      <xdr:nvPicPr>
        <xdr:cNvPr id="857315" name="Picture 960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9550" y="4514850"/>
          <a:ext cx="5143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5</xdr:row>
      <xdr:rowOff>142875</xdr:rowOff>
    </xdr:from>
    <xdr:to>
      <xdr:col>6</xdr:col>
      <xdr:colOff>866775</xdr:colOff>
      <xdr:row>6</xdr:row>
      <xdr:rowOff>219075</xdr:rowOff>
    </xdr:to>
    <xdr:pic>
      <xdr:nvPicPr>
        <xdr:cNvPr id="857316" name="Picture 96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34100" y="1095375"/>
          <a:ext cx="6953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247650</xdr:colOff>
      <xdr:row>7</xdr:row>
      <xdr:rowOff>133350</xdr:rowOff>
    </xdr:from>
    <xdr:to>
      <xdr:col>6</xdr:col>
      <xdr:colOff>752475</xdr:colOff>
      <xdr:row>8</xdr:row>
      <xdr:rowOff>180975</xdr:rowOff>
    </xdr:to>
    <xdr:pic>
      <xdr:nvPicPr>
        <xdr:cNvPr id="857317" name="Picture 961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1771650"/>
          <a:ext cx="5048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247650</xdr:colOff>
      <xdr:row>9</xdr:row>
      <xdr:rowOff>95250</xdr:rowOff>
    </xdr:from>
    <xdr:to>
      <xdr:col>6</xdr:col>
      <xdr:colOff>762000</xdr:colOff>
      <xdr:row>10</xdr:row>
      <xdr:rowOff>247650</xdr:rowOff>
    </xdr:to>
    <xdr:pic>
      <xdr:nvPicPr>
        <xdr:cNvPr id="857318" name="Picture 961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210300" y="2419350"/>
          <a:ext cx="5143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295275</xdr:colOff>
      <xdr:row>11</xdr:row>
      <xdr:rowOff>47625</xdr:rowOff>
    </xdr:from>
    <xdr:to>
      <xdr:col>6</xdr:col>
      <xdr:colOff>800100</xdr:colOff>
      <xdr:row>12</xdr:row>
      <xdr:rowOff>285750</xdr:rowOff>
    </xdr:to>
    <xdr:pic>
      <xdr:nvPicPr>
        <xdr:cNvPr id="857319" name="Picture 961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57925" y="3057525"/>
          <a:ext cx="5048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17</xdr:row>
      <xdr:rowOff>114300</xdr:rowOff>
    </xdr:from>
    <xdr:to>
      <xdr:col>6</xdr:col>
      <xdr:colOff>866775</xdr:colOff>
      <xdr:row>18</xdr:row>
      <xdr:rowOff>133350</xdr:rowOff>
    </xdr:to>
    <xdr:pic>
      <xdr:nvPicPr>
        <xdr:cNvPr id="857320" name="Picture 9618"/>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134100" y="5181600"/>
          <a:ext cx="6953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133350</xdr:colOff>
      <xdr:row>13</xdr:row>
      <xdr:rowOff>19050</xdr:rowOff>
    </xdr:from>
    <xdr:to>
      <xdr:col>6</xdr:col>
      <xdr:colOff>828675</xdr:colOff>
      <xdr:row>14</xdr:row>
      <xdr:rowOff>295275</xdr:rowOff>
    </xdr:to>
    <xdr:pic>
      <xdr:nvPicPr>
        <xdr:cNvPr id="857321" name="Picture 21"/>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t="6529"/>
        <a:stretch>
          <a:fillRect/>
        </a:stretch>
      </xdr:blipFill>
      <xdr:spPr bwMode="auto">
        <a:xfrm>
          <a:off x="6096000" y="3714750"/>
          <a:ext cx="6953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17</xdr:row>
      <xdr:rowOff>38100</xdr:rowOff>
    </xdr:from>
    <xdr:to>
      <xdr:col>0</xdr:col>
      <xdr:colOff>628650</xdr:colOff>
      <xdr:row>18</xdr:row>
      <xdr:rowOff>314325</xdr:rowOff>
    </xdr:to>
    <xdr:pic>
      <xdr:nvPicPr>
        <xdr:cNvPr id="857322" name="Picture 116"/>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42900" y="5105400"/>
          <a:ext cx="285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15</xdr:row>
      <xdr:rowOff>9525</xdr:rowOff>
    </xdr:from>
    <xdr:to>
      <xdr:col>6</xdr:col>
      <xdr:colOff>857250</xdr:colOff>
      <xdr:row>16</xdr:row>
      <xdr:rowOff>323850</xdr:rowOff>
    </xdr:to>
    <xdr:pic>
      <xdr:nvPicPr>
        <xdr:cNvPr id="857323" name="Picture 14"/>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134100" y="4391025"/>
          <a:ext cx="6858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228600</xdr:colOff>
      <xdr:row>19</xdr:row>
      <xdr:rowOff>9525</xdr:rowOff>
    </xdr:from>
    <xdr:to>
      <xdr:col>0</xdr:col>
      <xdr:colOff>628650</xdr:colOff>
      <xdr:row>20</xdr:row>
      <xdr:rowOff>257175</xdr:rowOff>
    </xdr:to>
    <xdr:pic>
      <xdr:nvPicPr>
        <xdr:cNvPr id="857324" name="Рисунок 21" descr="12_Кронштейн метал 111.png"/>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28600" y="5762625"/>
          <a:ext cx="4000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24</xdr:row>
      <xdr:rowOff>38100</xdr:rowOff>
    </xdr:from>
    <xdr:to>
      <xdr:col>6</xdr:col>
      <xdr:colOff>981075</xdr:colOff>
      <xdr:row>24</xdr:row>
      <xdr:rowOff>409575</xdr:rowOff>
    </xdr:to>
    <xdr:pic>
      <xdr:nvPicPr>
        <xdr:cNvPr id="857325" name="Picture 7017"/>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048375" y="7334250"/>
          <a:ext cx="8953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314325</xdr:colOff>
      <xdr:row>25</xdr:row>
      <xdr:rowOff>66675</xdr:rowOff>
    </xdr:from>
    <xdr:to>
      <xdr:col>6</xdr:col>
      <xdr:colOff>647700</xdr:colOff>
      <xdr:row>25</xdr:row>
      <xdr:rowOff>457200</xdr:rowOff>
    </xdr:to>
    <xdr:pic>
      <xdr:nvPicPr>
        <xdr:cNvPr id="857326" name="Рисунок 20" descr="47511d4f113b29af7f2662e6449e818e.jpg"/>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276975" y="7800975"/>
          <a:ext cx="3333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95250</xdr:colOff>
      <xdr:row>7</xdr:row>
      <xdr:rowOff>133350</xdr:rowOff>
    </xdr:from>
    <xdr:to>
      <xdr:col>0</xdr:col>
      <xdr:colOff>1924050</xdr:colOff>
      <xdr:row>7</xdr:row>
      <xdr:rowOff>552450</xdr:rowOff>
    </xdr:to>
    <xdr:pic>
      <xdr:nvPicPr>
        <xdr:cNvPr id="850548" name="Picture 338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705100"/>
          <a:ext cx="1828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352425</xdr:colOff>
      <xdr:row>24</xdr:row>
      <xdr:rowOff>962025</xdr:rowOff>
    </xdr:from>
    <xdr:to>
      <xdr:col>8</xdr:col>
      <xdr:colOff>1000125</xdr:colOff>
      <xdr:row>24</xdr:row>
      <xdr:rowOff>962025</xdr:rowOff>
    </xdr:to>
    <xdr:pic>
      <xdr:nvPicPr>
        <xdr:cNvPr id="850549" name="Рисунок 10" descr="32 копия.jpg"/>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t="6752" b="8360"/>
        <a:stretch>
          <a:fillRect/>
        </a:stretch>
      </xdr:blipFill>
      <xdr:spPr bwMode="auto">
        <a:xfrm rot="-480000">
          <a:off x="13039725" y="15973425"/>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352425</xdr:colOff>
      <xdr:row>24</xdr:row>
      <xdr:rowOff>371475</xdr:rowOff>
    </xdr:from>
    <xdr:to>
      <xdr:col>8</xdr:col>
      <xdr:colOff>1000125</xdr:colOff>
      <xdr:row>24</xdr:row>
      <xdr:rowOff>371475</xdr:rowOff>
    </xdr:to>
    <xdr:pic>
      <xdr:nvPicPr>
        <xdr:cNvPr id="850550" name="Рисунок 10" descr="32 копия.jpg"/>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t="6752" b="8360"/>
        <a:stretch>
          <a:fillRect/>
        </a:stretch>
      </xdr:blipFill>
      <xdr:spPr bwMode="auto">
        <a:xfrm rot="-480000">
          <a:off x="13039725" y="15382875"/>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276225</xdr:colOff>
      <xdr:row>7</xdr:row>
      <xdr:rowOff>457200</xdr:rowOff>
    </xdr:from>
    <xdr:to>
      <xdr:col>8</xdr:col>
      <xdr:colOff>1285875</xdr:colOff>
      <xdr:row>11</xdr:row>
      <xdr:rowOff>381000</xdr:rowOff>
    </xdr:to>
    <xdr:pic>
      <xdr:nvPicPr>
        <xdr:cNvPr id="850551"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63525" y="3028950"/>
          <a:ext cx="1009650"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25</xdr:row>
      <xdr:rowOff>76200</xdr:rowOff>
    </xdr:from>
    <xdr:to>
      <xdr:col>0</xdr:col>
      <xdr:colOff>1685925</xdr:colOff>
      <xdr:row>28</xdr:row>
      <xdr:rowOff>161925</xdr:rowOff>
    </xdr:to>
    <xdr:pic>
      <xdr:nvPicPr>
        <xdr:cNvPr id="850552" name="Picture 7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825" y="16144875"/>
          <a:ext cx="15621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6</xdr:row>
      <xdr:rowOff>28575</xdr:rowOff>
    </xdr:from>
    <xdr:to>
      <xdr:col>0</xdr:col>
      <xdr:colOff>2247900</xdr:colOff>
      <xdr:row>6</xdr:row>
      <xdr:rowOff>628650</xdr:rowOff>
    </xdr:to>
    <xdr:pic>
      <xdr:nvPicPr>
        <xdr:cNvPr id="850553" name="Picture 10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 y="1885950"/>
          <a:ext cx="22383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8</xdr:row>
      <xdr:rowOff>28575</xdr:rowOff>
    </xdr:from>
    <xdr:to>
      <xdr:col>0</xdr:col>
      <xdr:colOff>1552575</xdr:colOff>
      <xdr:row>8</xdr:row>
      <xdr:rowOff>619125</xdr:rowOff>
    </xdr:to>
    <xdr:pic>
      <xdr:nvPicPr>
        <xdr:cNvPr id="850554" name="Picture 10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5275" y="3448050"/>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133350</xdr:colOff>
      <xdr:row>9</xdr:row>
      <xdr:rowOff>57150</xdr:rowOff>
    </xdr:from>
    <xdr:to>
      <xdr:col>0</xdr:col>
      <xdr:colOff>1295400</xdr:colOff>
      <xdr:row>9</xdr:row>
      <xdr:rowOff>600075</xdr:rowOff>
    </xdr:to>
    <xdr:pic>
      <xdr:nvPicPr>
        <xdr:cNvPr id="850555" name="Picture 10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3350" y="4181475"/>
          <a:ext cx="11620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542925</xdr:colOff>
      <xdr:row>10</xdr:row>
      <xdr:rowOff>28575</xdr:rowOff>
    </xdr:from>
    <xdr:to>
      <xdr:col>0</xdr:col>
      <xdr:colOff>1400175</xdr:colOff>
      <xdr:row>10</xdr:row>
      <xdr:rowOff>581025</xdr:rowOff>
    </xdr:to>
    <xdr:pic>
      <xdr:nvPicPr>
        <xdr:cNvPr id="850556" name="Picture 10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t="4541" b="6094"/>
        <a:stretch>
          <a:fillRect/>
        </a:stretch>
      </xdr:blipFill>
      <xdr:spPr bwMode="auto">
        <a:xfrm>
          <a:off x="542925" y="4876800"/>
          <a:ext cx="8572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447675</xdr:colOff>
      <xdr:row>11</xdr:row>
      <xdr:rowOff>38100</xdr:rowOff>
    </xdr:from>
    <xdr:to>
      <xdr:col>0</xdr:col>
      <xdr:colOff>1304925</xdr:colOff>
      <xdr:row>11</xdr:row>
      <xdr:rowOff>666750</xdr:rowOff>
    </xdr:to>
    <xdr:pic>
      <xdr:nvPicPr>
        <xdr:cNvPr id="850557" name="Picture 11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7675" y="5495925"/>
          <a:ext cx="8572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21</xdr:row>
      <xdr:rowOff>114300</xdr:rowOff>
    </xdr:from>
    <xdr:to>
      <xdr:col>0</xdr:col>
      <xdr:colOff>1943100</xdr:colOff>
      <xdr:row>22</xdr:row>
      <xdr:rowOff>419100</xdr:rowOff>
    </xdr:to>
    <xdr:pic>
      <xdr:nvPicPr>
        <xdr:cNvPr id="850558" name="Picture 11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23850" y="12982575"/>
          <a:ext cx="1619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676275</xdr:colOff>
      <xdr:row>23</xdr:row>
      <xdr:rowOff>238125</xdr:rowOff>
    </xdr:from>
    <xdr:to>
      <xdr:col>0</xdr:col>
      <xdr:colOff>1428750</xdr:colOff>
      <xdr:row>23</xdr:row>
      <xdr:rowOff>819150</xdr:rowOff>
    </xdr:to>
    <xdr:pic>
      <xdr:nvPicPr>
        <xdr:cNvPr id="850559" name="Picture 12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76275" y="14144625"/>
          <a:ext cx="7524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457200</xdr:colOff>
      <xdr:row>24</xdr:row>
      <xdr:rowOff>152400</xdr:rowOff>
    </xdr:from>
    <xdr:to>
      <xdr:col>0</xdr:col>
      <xdr:colOff>1457325</xdr:colOff>
      <xdr:row>24</xdr:row>
      <xdr:rowOff>962025</xdr:rowOff>
    </xdr:to>
    <xdr:pic>
      <xdr:nvPicPr>
        <xdr:cNvPr id="850560" name="Picture 12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7200" y="15163800"/>
          <a:ext cx="10001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95250</xdr:colOff>
      <xdr:row>15</xdr:row>
      <xdr:rowOff>323850</xdr:rowOff>
    </xdr:from>
    <xdr:to>
      <xdr:col>8</xdr:col>
      <xdr:colOff>1504950</xdr:colOff>
      <xdr:row>17</xdr:row>
      <xdr:rowOff>114300</xdr:rowOff>
    </xdr:to>
    <xdr:pic>
      <xdr:nvPicPr>
        <xdr:cNvPr id="850561" name="Picture 12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782550" y="8515350"/>
          <a:ext cx="14097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123825</xdr:colOff>
      <xdr:row>20</xdr:row>
      <xdr:rowOff>171450</xdr:rowOff>
    </xdr:from>
    <xdr:to>
      <xdr:col>8</xdr:col>
      <xdr:colOff>1457325</xdr:colOff>
      <xdr:row>22</xdr:row>
      <xdr:rowOff>180975</xdr:rowOff>
    </xdr:to>
    <xdr:pic>
      <xdr:nvPicPr>
        <xdr:cNvPr id="850562" name="Picture 12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811125" y="12001500"/>
          <a:ext cx="13335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1323975</xdr:colOff>
      <xdr:row>28</xdr:row>
      <xdr:rowOff>123825</xdr:rowOff>
    </xdr:from>
    <xdr:to>
      <xdr:col>0</xdr:col>
      <xdr:colOff>2152650</xdr:colOff>
      <xdr:row>29</xdr:row>
      <xdr:rowOff>438150</xdr:rowOff>
    </xdr:to>
    <xdr:pic>
      <xdr:nvPicPr>
        <xdr:cNvPr id="850563" name="Picture 738"/>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23975" y="18030825"/>
          <a:ext cx="8286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1009650</xdr:colOff>
      <xdr:row>15</xdr:row>
      <xdr:rowOff>9525</xdr:rowOff>
    </xdr:from>
    <xdr:to>
      <xdr:col>0</xdr:col>
      <xdr:colOff>1362075</xdr:colOff>
      <xdr:row>15</xdr:row>
      <xdr:rowOff>390525</xdr:rowOff>
    </xdr:to>
    <xdr:pic>
      <xdr:nvPicPr>
        <xdr:cNvPr id="850564" name="Picture 39"/>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09650" y="820102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16</xdr:row>
      <xdr:rowOff>47625</xdr:rowOff>
    </xdr:from>
    <xdr:to>
      <xdr:col>0</xdr:col>
      <xdr:colOff>1828800</xdr:colOff>
      <xdr:row>16</xdr:row>
      <xdr:rowOff>333375</xdr:rowOff>
    </xdr:to>
    <xdr:pic>
      <xdr:nvPicPr>
        <xdr:cNvPr id="850565" name="Picture 368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14350" y="8648700"/>
          <a:ext cx="13144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1905000</xdr:colOff>
      <xdr:row>7</xdr:row>
      <xdr:rowOff>314325</xdr:rowOff>
    </xdr:from>
    <xdr:to>
      <xdr:col>0</xdr:col>
      <xdr:colOff>2286000</xdr:colOff>
      <xdr:row>7</xdr:row>
      <xdr:rowOff>723900</xdr:rowOff>
    </xdr:to>
    <xdr:pic>
      <xdr:nvPicPr>
        <xdr:cNvPr id="850566" name="Picture 503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905000" y="2886075"/>
          <a:ext cx="3810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1095375</xdr:colOff>
      <xdr:row>12</xdr:row>
      <xdr:rowOff>76200</xdr:rowOff>
    </xdr:from>
    <xdr:to>
      <xdr:col>0</xdr:col>
      <xdr:colOff>1571625</xdr:colOff>
      <xdr:row>12</xdr:row>
      <xdr:rowOff>581025</xdr:rowOff>
    </xdr:to>
    <xdr:pic>
      <xdr:nvPicPr>
        <xdr:cNvPr id="850567" name="Picture 503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95375" y="6210300"/>
          <a:ext cx="4762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523875</xdr:colOff>
      <xdr:row>12</xdr:row>
      <xdr:rowOff>76200</xdr:rowOff>
    </xdr:from>
    <xdr:to>
      <xdr:col>0</xdr:col>
      <xdr:colOff>1000125</xdr:colOff>
      <xdr:row>12</xdr:row>
      <xdr:rowOff>581025</xdr:rowOff>
    </xdr:to>
    <xdr:pic>
      <xdr:nvPicPr>
        <xdr:cNvPr id="850568" name="Picture 503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23875" y="6210300"/>
          <a:ext cx="4762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1362075</xdr:colOff>
      <xdr:row>9</xdr:row>
      <xdr:rowOff>123825</xdr:rowOff>
    </xdr:from>
    <xdr:to>
      <xdr:col>0</xdr:col>
      <xdr:colOff>1743075</xdr:colOff>
      <xdr:row>9</xdr:row>
      <xdr:rowOff>523875</xdr:rowOff>
    </xdr:to>
    <xdr:pic>
      <xdr:nvPicPr>
        <xdr:cNvPr id="850569" name="Picture 503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62075" y="42481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1809750</xdr:colOff>
      <xdr:row>9</xdr:row>
      <xdr:rowOff>114300</xdr:rowOff>
    </xdr:from>
    <xdr:to>
      <xdr:col>0</xdr:col>
      <xdr:colOff>2190750</xdr:colOff>
      <xdr:row>9</xdr:row>
      <xdr:rowOff>514350</xdr:rowOff>
    </xdr:to>
    <xdr:pic>
      <xdr:nvPicPr>
        <xdr:cNvPr id="850570" name="Picture 503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809750" y="4238625"/>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1304925</xdr:colOff>
      <xdr:row>11</xdr:row>
      <xdr:rowOff>161925</xdr:rowOff>
    </xdr:from>
    <xdr:to>
      <xdr:col>0</xdr:col>
      <xdr:colOff>1685925</xdr:colOff>
      <xdr:row>11</xdr:row>
      <xdr:rowOff>571500</xdr:rowOff>
    </xdr:to>
    <xdr:pic>
      <xdr:nvPicPr>
        <xdr:cNvPr id="850571" name="Picture 503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04925" y="5619750"/>
          <a:ext cx="3810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1762125</xdr:colOff>
      <xdr:row>11</xdr:row>
      <xdr:rowOff>161925</xdr:rowOff>
    </xdr:from>
    <xdr:to>
      <xdr:col>0</xdr:col>
      <xdr:colOff>2143125</xdr:colOff>
      <xdr:row>11</xdr:row>
      <xdr:rowOff>561975</xdr:rowOff>
    </xdr:to>
    <xdr:pic>
      <xdr:nvPicPr>
        <xdr:cNvPr id="850572" name="Picture 503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62125" y="56197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47625</xdr:colOff>
      <xdr:row>18</xdr:row>
      <xdr:rowOff>571500</xdr:rowOff>
    </xdr:from>
    <xdr:to>
      <xdr:col>8</xdr:col>
      <xdr:colOff>1552575</xdr:colOff>
      <xdr:row>19</xdr:row>
      <xdr:rowOff>485775</xdr:rowOff>
    </xdr:to>
    <xdr:pic>
      <xdr:nvPicPr>
        <xdr:cNvPr id="850573" name="Picture 6018"/>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734925" y="10248900"/>
          <a:ext cx="1504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95250</xdr:colOff>
      <xdr:row>23</xdr:row>
      <xdr:rowOff>209550</xdr:rowOff>
    </xdr:from>
    <xdr:to>
      <xdr:col>8</xdr:col>
      <xdr:colOff>1562100</xdr:colOff>
      <xdr:row>24</xdr:row>
      <xdr:rowOff>800100</xdr:rowOff>
    </xdr:to>
    <xdr:pic>
      <xdr:nvPicPr>
        <xdr:cNvPr id="850574" name="Picture 6051"/>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782550" y="14116050"/>
          <a:ext cx="14668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17</xdr:row>
      <xdr:rowOff>352425</xdr:rowOff>
    </xdr:from>
    <xdr:to>
      <xdr:col>0</xdr:col>
      <xdr:colOff>2114550</xdr:colOff>
      <xdr:row>18</xdr:row>
      <xdr:rowOff>733425</xdr:rowOff>
    </xdr:to>
    <xdr:pic>
      <xdr:nvPicPr>
        <xdr:cNvPr id="850575" name="Picture 605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09550" y="9324975"/>
          <a:ext cx="19050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19</xdr:row>
      <xdr:rowOff>219075</xdr:rowOff>
    </xdr:from>
    <xdr:to>
      <xdr:col>0</xdr:col>
      <xdr:colOff>2124075</xdr:colOff>
      <xdr:row>20</xdr:row>
      <xdr:rowOff>219075</xdr:rowOff>
    </xdr:to>
    <xdr:pic>
      <xdr:nvPicPr>
        <xdr:cNvPr id="850576" name="Picture 605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19075" y="10944225"/>
          <a:ext cx="19050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1076325</xdr:colOff>
      <xdr:row>20</xdr:row>
      <xdr:rowOff>333375</xdr:rowOff>
    </xdr:from>
    <xdr:to>
      <xdr:col>0</xdr:col>
      <xdr:colOff>1552575</xdr:colOff>
      <xdr:row>20</xdr:row>
      <xdr:rowOff>838200</xdr:rowOff>
    </xdr:to>
    <xdr:pic>
      <xdr:nvPicPr>
        <xdr:cNvPr id="850577" name="Picture 503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76325" y="12163425"/>
          <a:ext cx="4762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20</xdr:row>
      <xdr:rowOff>333375</xdr:rowOff>
    </xdr:from>
    <xdr:to>
      <xdr:col>0</xdr:col>
      <xdr:colOff>981075</xdr:colOff>
      <xdr:row>20</xdr:row>
      <xdr:rowOff>838200</xdr:rowOff>
    </xdr:to>
    <xdr:pic>
      <xdr:nvPicPr>
        <xdr:cNvPr id="850578" name="Picture 503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4825" y="12163425"/>
          <a:ext cx="4762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13</xdr:row>
      <xdr:rowOff>123825</xdr:rowOff>
    </xdr:from>
    <xdr:to>
      <xdr:col>0</xdr:col>
      <xdr:colOff>1609725</xdr:colOff>
      <xdr:row>14</xdr:row>
      <xdr:rowOff>495300</xdr:rowOff>
    </xdr:to>
    <xdr:pic>
      <xdr:nvPicPr>
        <xdr:cNvPr id="850579" name="Picture 244"/>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81000" y="6924675"/>
          <a:ext cx="12287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5</xdr:row>
      <xdr:rowOff>28575</xdr:rowOff>
    </xdr:from>
    <xdr:to>
      <xdr:col>0</xdr:col>
      <xdr:colOff>1609725</xdr:colOff>
      <xdr:row>5</xdr:row>
      <xdr:rowOff>619125</xdr:rowOff>
    </xdr:to>
    <xdr:pic>
      <xdr:nvPicPr>
        <xdr:cNvPr id="850580" name="Рисунок 34" descr="1531130582_4394_.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57175" y="1190625"/>
          <a:ext cx="1352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1714500</xdr:colOff>
      <xdr:row>6</xdr:row>
      <xdr:rowOff>390525</xdr:rowOff>
    </xdr:from>
    <xdr:to>
      <xdr:col>0</xdr:col>
      <xdr:colOff>1333500</xdr:colOff>
      <xdr:row>6</xdr:row>
      <xdr:rowOff>781050</xdr:rowOff>
    </xdr:to>
    <xdr:pic>
      <xdr:nvPicPr>
        <xdr:cNvPr id="862459" name="Рисунок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8127" b="10172"/>
        <a:stretch>
          <a:fillRect/>
        </a:stretch>
      </xdr:blipFill>
      <xdr:spPr bwMode="auto">
        <a:xfrm>
          <a:off x="1333500" y="28479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1771650</xdr:colOff>
      <xdr:row>11</xdr:row>
      <xdr:rowOff>276225</xdr:rowOff>
    </xdr:from>
    <xdr:to>
      <xdr:col>0</xdr:col>
      <xdr:colOff>1333500</xdr:colOff>
      <xdr:row>11</xdr:row>
      <xdr:rowOff>666750</xdr:rowOff>
    </xdr:to>
    <xdr:pic>
      <xdr:nvPicPr>
        <xdr:cNvPr id="862460" name="Рисунок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8127" b="10172"/>
        <a:stretch>
          <a:fillRect/>
        </a:stretch>
      </xdr:blipFill>
      <xdr:spPr bwMode="auto">
        <a:xfrm>
          <a:off x="1333500" y="62769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28575</xdr:colOff>
      <xdr:row>5</xdr:row>
      <xdr:rowOff>133350</xdr:rowOff>
    </xdr:from>
    <xdr:to>
      <xdr:col>0</xdr:col>
      <xdr:colOff>1181100</xdr:colOff>
      <xdr:row>5</xdr:row>
      <xdr:rowOff>695325</xdr:rowOff>
    </xdr:to>
    <xdr:pic>
      <xdr:nvPicPr>
        <xdr:cNvPr id="862461" name="Picture 2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743075"/>
          <a:ext cx="11525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6</xdr:row>
      <xdr:rowOff>133350</xdr:rowOff>
    </xdr:from>
    <xdr:to>
      <xdr:col>0</xdr:col>
      <xdr:colOff>1209675</xdr:colOff>
      <xdr:row>7</xdr:row>
      <xdr:rowOff>95250</xdr:rowOff>
    </xdr:to>
    <xdr:pic>
      <xdr:nvPicPr>
        <xdr:cNvPr id="862462" name="Picture 2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590800"/>
          <a:ext cx="11525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10</xdr:row>
      <xdr:rowOff>28575</xdr:rowOff>
    </xdr:from>
    <xdr:to>
      <xdr:col>0</xdr:col>
      <xdr:colOff>1181100</xdr:colOff>
      <xdr:row>10</xdr:row>
      <xdr:rowOff>762000</xdr:rowOff>
    </xdr:to>
    <xdr:pic>
      <xdr:nvPicPr>
        <xdr:cNvPr id="862463" name="Picture 3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162550"/>
          <a:ext cx="11049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xdr:row>
      <xdr:rowOff>76200</xdr:rowOff>
    </xdr:from>
    <xdr:to>
      <xdr:col>0</xdr:col>
      <xdr:colOff>1181100</xdr:colOff>
      <xdr:row>12</xdr:row>
      <xdr:rowOff>504825</xdr:rowOff>
    </xdr:to>
    <xdr:pic>
      <xdr:nvPicPr>
        <xdr:cNvPr id="862464" name="Picture 3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6076950"/>
          <a:ext cx="1104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18</xdr:row>
      <xdr:rowOff>95250</xdr:rowOff>
    </xdr:from>
    <xdr:to>
      <xdr:col>9</xdr:col>
      <xdr:colOff>771525</xdr:colOff>
      <xdr:row>18</xdr:row>
      <xdr:rowOff>523875</xdr:rowOff>
    </xdr:to>
    <xdr:pic>
      <xdr:nvPicPr>
        <xdr:cNvPr id="862465" name="Picture 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0400" y="11106150"/>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15</xdr:row>
      <xdr:rowOff>209550</xdr:rowOff>
    </xdr:from>
    <xdr:to>
      <xdr:col>0</xdr:col>
      <xdr:colOff>1047750</xdr:colOff>
      <xdr:row>15</xdr:row>
      <xdr:rowOff>533400</xdr:rowOff>
    </xdr:to>
    <xdr:pic>
      <xdr:nvPicPr>
        <xdr:cNvPr id="862466" name="Picture 3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0975" y="8839200"/>
          <a:ext cx="866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476250</xdr:colOff>
      <xdr:row>20</xdr:row>
      <xdr:rowOff>28575</xdr:rowOff>
    </xdr:from>
    <xdr:to>
      <xdr:col>9</xdr:col>
      <xdr:colOff>828675</xdr:colOff>
      <xdr:row>20</xdr:row>
      <xdr:rowOff>409575</xdr:rowOff>
    </xdr:to>
    <xdr:pic>
      <xdr:nvPicPr>
        <xdr:cNvPr id="862467" name="Picture 3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877550" y="12268200"/>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16</xdr:row>
      <xdr:rowOff>152400</xdr:rowOff>
    </xdr:from>
    <xdr:to>
      <xdr:col>0</xdr:col>
      <xdr:colOff>990600</xdr:colOff>
      <xdr:row>16</xdr:row>
      <xdr:rowOff>657225</xdr:rowOff>
    </xdr:to>
    <xdr:pic>
      <xdr:nvPicPr>
        <xdr:cNvPr id="862468" name="Picture 4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725" y="9486900"/>
          <a:ext cx="9048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17</xdr:row>
      <xdr:rowOff>47625</xdr:rowOff>
    </xdr:from>
    <xdr:to>
      <xdr:col>0</xdr:col>
      <xdr:colOff>838200</xdr:colOff>
      <xdr:row>17</xdr:row>
      <xdr:rowOff>476250</xdr:rowOff>
    </xdr:to>
    <xdr:pic>
      <xdr:nvPicPr>
        <xdr:cNvPr id="862469" name="Picture 4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675" y="10210800"/>
          <a:ext cx="771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18</xdr:row>
      <xdr:rowOff>285750</xdr:rowOff>
    </xdr:from>
    <xdr:to>
      <xdr:col>0</xdr:col>
      <xdr:colOff>1238250</xdr:colOff>
      <xdr:row>19</xdr:row>
      <xdr:rowOff>352425</xdr:rowOff>
    </xdr:to>
    <xdr:pic>
      <xdr:nvPicPr>
        <xdr:cNvPr id="862470" name="Picture 4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3825" y="11296650"/>
          <a:ext cx="11144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20</xdr:row>
      <xdr:rowOff>28575</xdr:rowOff>
    </xdr:from>
    <xdr:to>
      <xdr:col>0</xdr:col>
      <xdr:colOff>819150</xdr:colOff>
      <xdr:row>21</xdr:row>
      <xdr:rowOff>9525</xdr:rowOff>
    </xdr:to>
    <xdr:pic>
      <xdr:nvPicPr>
        <xdr:cNvPr id="862471" name="Picture 4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100" y="12268200"/>
          <a:ext cx="7810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xdr:colOff>
      <xdr:row>6</xdr:row>
      <xdr:rowOff>38100</xdr:rowOff>
    </xdr:from>
    <xdr:to>
      <xdr:col>9</xdr:col>
      <xdr:colOff>1266825</xdr:colOff>
      <xdr:row>9</xdr:row>
      <xdr:rowOff>247650</xdr:rowOff>
    </xdr:to>
    <xdr:pic>
      <xdr:nvPicPr>
        <xdr:cNvPr id="862472" name="Picture 4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20350" y="2495550"/>
          <a:ext cx="1247775" cy="208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66675</xdr:colOff>
      <xdr:row>12</xdr:row>
      <xdr:rowOff>171450</xdr:rowOff>
    </xdr:from>
    <xdr:to>
      <xdr:col>9</xdr:col>
      <xdr:colOff>1228725</xdr:colOff>
      <xdr:row>13</xdr:row>
      <xdr:rowOff>504825</xdr:rowOff>
    </xdr:to>
    <xdr:pic>
      <xdr:nvPicPr>
        <xdr:cNvPr id="862473" name="Picture 49"/>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67975" y="6467475"/>
          <a:ext cx="11620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28575</xdr:colOff>
      <xdr:row>14</xdr:row>
      <xdr:rowOff>304800</xdr:rowOff>
    </xdr:from>
    <xdr:to>
      <xdr:col>9</xdr:col>
      <xdr:colOff>1247775</xdr:colOff>
      <xdr:row>15</xdr:row>
      <xdr:rowOff>428625</xdr:rowOff>
    </xdr:to>
    <xdr:pic>
      <xdr:nvPicPr>
        <xdr:cNvPr id="862474" name="Picture 5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429875" y="8181975"/>
          <a:ext cx="12192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21</xdr:row>
      <xdr:rowOff>114300</xdr:rowOff>
    </xdr:from>
    <xdr:to>
      <xdr:col>9</xdr:col>
      <xdr:colOff>1143000</xdr:colOff>
      <xdr:row>21</xdr:row>
      <xdr:rowOff>314325</xdr:rowOff>
    </xdr:to>
    <xdr:pic>
      <xdr:nvPicPr>
        <xdr:cNvPr id="862475" name="Picture 3680"/>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591800" y="12820650"/>
          <a:ext cx="9525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352425</xdr:colOff>
      <xdr:row>19</xdr:row>
      <xdr:rowOff>38100</xdr:rowOff>
    </xdr:from>
    <xdr:to>
      <xdr:col>9</xdr:col>
      <xdr:colOff>942975</xdr:colOff>
      <xdr:row>19</xdr:row>
      <xdr:rowOff>619125</xdr:rowOff>
    </xdr:to>
    <xdr:pic>
      <xdr:nvPicPr>
        <xdr:cNvPr id="862476" name="Рисунок 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753725" y="11620500"/>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285750</xdr:colOff>
      <xdr:row>22</xdr:row>
      <xdr:rowOff>28575</xdr:rowOff>
    </xdr:from>
    <xdr:to>
      <xdr:col>9</xdr:col>
      <xdr:colOff>952500</xdr:colOff>
      <xdr:row>26</xdr:row>
      <xdr:rowOff>57150</xdr:rowOff>
    </xdr:to>
    <xdr:pic>
      <xdr:nvPicPr>
        <xdr:cNvPr id="862477" name="Picture 503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87050" y="13134975"/>
          <a:ext cx="666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600075</xdr:colOff>
      <xdr:row>6</xdr:row>
      <xdr:rowOff>723900</xdr:rowOff>
    </xdr:from>
    <xdr:to>
      <xdr:col>0</xdr:col>
      <xdr:colOff>1076325</xdr:colOff>
      <xdr:row>7</xdr:row>
      <xdr:rowOff>504825</xdr:rowOff>
    </xdr:to>
    <xdr:pic>
      <xdr:nvPicPr>
        <xdr:cNvPr id="862478" name="Picture 503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00075" y="3057525"/>
          <a:ext cx="4762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11</xdr:row>
      <xdr:rowOff>704850</xdr:rowOff>
    </xdr:from>
    <xdr:to>
      <xdr:col>0</xdr:col>
      <xdr:colOff>1047750</xdr:colOff>
      <xdr:row>12</xdr:row>
      <xdr:rowOff>495300</xdr:rowOff>
    </xdr:to>
    <xdr:pic>
      <xdr:nvPicPr>
        <xdr:cNvPr id="862479" name="Picture 5039"/>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71500" y="6296025"/>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809625</xdr:colOff>
      <xdr:row>17</xdr:row>
      <xdr:rowOff>209550</xdr:rowOff>
    </xdr:from>
    <xdr:to>
      <xdr:col>0</xdr:col>
      <xdr:colOff>1285875</xdr:colOff>
      <xdr:row>17</xdr:row>
      <xdr:rowOff>704850</xdr:rowOff>
    </xdr:to>
    <xdr:pic>
      <xdr:nvPicPr>
        <xdr:cNvPr id="862480" name="Picture 503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09625" y="10372725"/>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895350</xdr:colOff>
      <xdr:row>20</xdr:row>
      <xdr:rowOff>276225</xdr:rowOff>
    </xdr:from>
    <xdr:to>
      <xdr:col>0</xdr:col>
      <xdr:colOff>1257300</xdr:colOff>
      <xdr:row>21</xdr:row>
      <xdr:rowOff>180975</xdr:rowOff>
    </xdr:to>
    <xdr:pic>
      <xdr:nvPicPr>
        <xdr:cNvPr id="862481" name="Picture 503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95350" y="12515850"/>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133350</xdr:colOff>
      <xdr:row>16</xdr:row>
      <xdr:rowOff>247650</xdr:rowOff>
    </xdr:from>
    <xdr:to>
      <xdr:col>9</xdr:col>
      <xdr:colOff>1228725</xdr:colOff>
      <xdr:row>17</xdr:row>
      <xdr:rowOff>333375</xdr:rowOff>
    </xdr:to>
    <xdr:pic>
      <xdr:nvPicPr>
        <xdr:cNvPr id="862482" name="Picture 29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534650" y="9582150"/>
          <a:ext cx="10953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8</xdr:row>
      <xdr:rowOff>28575</xdr:rowOff>
    </xdr:from>
    <xdr:to>
      <xdr:col>0</xdr:col>
      <xdr:colOff>990600</xdr:colOff>
      <xdr:row>8</xdr:row>
      <xdr:rowOff>657225</xdr:rowOff>
    </xdr:to>
    <xdr:pic>
      <xdr:nvPicPr>
        <xdr:cNvPr id="862483" name="Рисунок 26" descr="круглый.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66700" y="3676650"/>
          <a:ext cx="7239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9</xdr:row>
      <xdr:rowOff>38100</xdr:rowOff>
    </xdr:from>
    <xdr:to>
      <xdr:col>0</xdr:col>
      <xdr:colOff>990600</xdr:colOff>
      <xdr:row>9</xdr:row>
      <xdr:rowOff>742950</xdr:rowOff>
    </xdr:to>
    <xdr:pic>
      <xdr:nvPicPr>
        <xdr:cNvPr id="862484" name="Рисунок 27" descr="овальный.jp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8600" y="4371975"/>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13</xdr:row>
      <xdr:rowOff>28575</xdr:rowOff>
    </xdr:from>
    <xdr:to>
      <xdr:col>0</xdr:col>
      <xdr:colOff>1047750</xdr:colOff>
      <xdr:row>13</xdr:row>
      <xdr:rowOff>752475</xdr:rowOff>
    </xdr:to>
    <xdr:pic>
      <xdr:nvPicPr>
        <xdr:cNvPr id="862485" name="Рисунок 28" descr="круглый.jpg"/>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00025" y="7038975"/>
          <a:ext cx="8477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14</xdr:row>
      <xdr:rowOff>28575</xdr:rowOff>
    </xdr:from>
    <xdr:to>
      <xdr:col>0</xdr:col>
      <xdr:colOff>1000125</xdr:colOff>
      <xdr:row>14</xdr:row>
      <xdr:rowOff>733425</xdr:rowOff>
    </xdr:to>
    <xdr:pic>
      <xdr:nvPicPr>
        <xdr:cNvPr id="862486" name="Рисунок 29" descr="овальный.jp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47650" y="7905750"/>
          <a:ext cx="7524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13</xdr:row>
      <xdr:rowOff>28575</xdr:rowOff>
    </xdr:from>
    <xdr:to>
      <xdr:col>0</xdr:col>
      <xdr:colOff>1009650</xdr:colOff>
      <xdr:row>13</xdr:row>
      <xdr:rowOff>723900</xdr:rowOff>
    </xdr:to>
    <xdr:pic>
      <xdr:nvPicPr>
        <xdr:cNvPr id="862487" name="Рисунок 30" descr="круглый.jpg"/>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00025" y="7038975"/>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57150</xdr:colOff>
      <xdr:row>5</xdr:row>
      <xdr:rowOff>123825</xdr:rowOff>
    </xdr:from>
    <xdr:to>
      <xdr:col>0</xdr:col>
      <xdr:colOff>904875</xdr:colOff>
      <xdr:row>6</xdr:row>
      <xdr:rowOff>180975</xdr:rowOff>
    </xdr:to>
    <xdr:pic>
      <xdr:nvPicPr>
        <xdr:cNvPr id="861561" name="Picture 124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228725"/>
          <a:ext cx="8477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7</xdr:row>
      <xdr:rowOff>38100</xdr:rowOff>
    </xdr:from>
    <xdr:to>
      <xdr:col>0</xdr:col>
      <xdr:colOff>866775</xdr:colOff>
      <xdr:row>9</xdr:row>
      <xdr:rowOff>104775</xdr:rowOff>
    </xdr:to>
    <xdr:pic>
      <xdr:nvPicPr>
        <xdr:cNvPr id="861562" name="Picture 124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076450"/>
          <a:ext cx="800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161925</xdr:colOff>
      <xdr:row>10</xdr:row>
      <xdr:rowOff>38100</xdr:rowOff>
    </xdr:from>
    <xdr:to>
      <xdr:col>0</xdr:col>
      <xdr:colOff>685800</xdr:colOff>
      <xdr:row>10</xdr:row>
      <xdr:rowOff>504825</xdr:rowOff>
    </xdr:to>
    <xdr:pic>
      <xdr:nvPicPr>
        <xdr:cNvPr id="861563" name="Picture 12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2895600"/>
          <a:ext cx="5238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11</xdr:row>
      <xdr:rowOff>200025</xdr:rowOff>
    </xdr:from>
    <xdr:to>
      <xdr:col>0</xdr:col>
      <xdr:colOff>952500</xdr:colOff>
      <xdr:row>13</xdr:row>
      <xdr:rowOff>161925</xdr:rowOff>
    </xdr:to>
    <xdr:pic>
      <xdr:nvPicPr>
        <xdr:cNvPr id="861564" name="Picture 12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609975"/>
          <a:ext cx="9334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17</xdr:row>
      <xdr:rowOff>19050</xdr:rowOff>
    </xdr:from>
    <xdr:to>
      <xdr:col>0</xdr:col>
      <xdr:colOff>942975</xdr:colOff>
      <xdr:row>17</xdr:row>
      <xdr:rowOff>590550</xdr:rowOff>
    </xdr:to>
    <xdr:pic>
      <xdr:nvPicPr>
        <xdr:cNvPr id="861565" name="Picture 124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286375"/>
          <a:ext cx="8858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18</xdr:row>
      <xdr:rowOff>28575</xdr:rowOff>
    </xdr:from>
    <xdr:to>
      <xdr:col>0</xdr:col>
      <xdr:colOff>923925</xdr:colOff>
      <xdr:row>18</xdr:row>
      <xdr:rowOff>581025</xdr:rowOff>
    </xdr:to>
    <xdr:pic>
      <xdr:nvPicPr>
        <xdr:cNvPr id="861566" name="Picture 124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675" y="5981700"/>
          <a:ext cx="8572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123825</xdr:colOff>
      <xdr:row>19</xdr:row>
      <xdr:rowOff>19050</xdr:rowOff>
    </xdr:from>
    <xdr:to>
      <xdr:col>0</xdr:col>
      <xdr:colOff>819150</xdr:colOff>
      <xdr:row>20</xdr:row>
      <xdr:rowOff>0</xdr:rowOff>
    </xdr:to>
    <xdr:pic>
      <xdr:nvPicPr>
        <xdr:cNvPr id="861567" name="Picture 124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3825" y="65722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26</xdr:row>
      <xdr:rowOff>114300</xdr:rowOff>
    </xdr:from>
    <xdr:to>
      <xdr:col>0</xdr:col>
      <xdr:colOff>952500</xdr:colOff>
      <xdr:row>27</xdr:row>
      <xdr:rowOff>200025</xdr:rowOff>
    </xdr:to>
    <xdr:pic>
      <xdr:nvPicPr>
        <xdr:cNvPr id="861568" name="Picture 124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100" y="10172700"/>
          <a:ext cx="9144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28</xdr:row>
      <xdr:rowOff>133350</xdr:rowOff>
    </xdr:from>
    <xdr:to>
      <xdr:col>0</xdr:col>
      <xdr:colOff>942975</xdr:colOff>
      <xdr:row>29</xdr:row>
      <xdr:rowOff>323850</xdr:rowOff>
    </xdr:to>
    <xdr:pic>
      <xdr:nvPicPr>
        <xdr:cNvPr id="861569" name="Picture 125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100" y="10963275"/>
          <a:ext cx="9048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31</xdr:row>
      <xdr:rowOff>47625</xdr:rowOff>
    </xdr:from>
    <xdr:to>
      <xdr:col>0</xdr:col>
      <xdr:colOff>914400</xdr:colOff>
      <xdr:row>32</xdr:row>
      <xdr:rowOff>314325</xdr:rowOff>
    </xdr:to>
    <xdr:pic>
      <xdr:nvPicPr>
        <xdr:cNvPr id="861570" name="Picture 125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7150" y="11944350"/>
          <a:ext cx="8572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33</xdr:row>
      <xdr:rowOff>28575</xdr:rowOff>
    </xdr:from>
    <xdr:to>
      <xdr:col>0</xdr:col>
      <xdr:colOff>914400</xdr:colOff>
      <xdr:row>34</xdr:row>
      <xdr:rowOff>209550</xdr:rowOff>
    </xdr:to>
    <xdr:pic>
      <xdr:nvPicPr>
        <xdr:cNvPr id="861571" name="Picture 125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8100" y="12515850"/>
          <a:ext cx="8763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142875</xdr:colOff>
      <xdr:row>35</xdr:row>
      <xdr:rowOff>38100</xdr:rowOff>
    </xdr:from>
    <xdr:to>
      <xdr:col>0</xdr:col>
      <xdr:colOff>857250</xdr:colOff>
      <xdr:row>35</xdr:row>
      <xdr:rowOff>533400</xdr:rowOff>
    </xdr:to>
    <xdr:pic>
      <xdr:nvPicPr>
        <xdr:cNvPr id="861572" name="Picture 125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2875" y="13087350"/>
          <a:ext cx="7143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104775</xdr:colOff>
      <xdr:row>42</xdr:row>
      <xdr:rowOff>38100</xdr:rowOff>
    </xdr:from>
    <xdr:to>
      <xdr:col>0</xdr:col>
      <xdr:colOff>485775</xdr:colOff>
      <xdr:row>44</xdr:row>
      <xdr:rowOff>200025</xdr:rowOff>
    </xdr:to>
    <xdr:pic>
      <xdr:nvPicPr>
        <xdr:cNvPr id="861573" name="Picture 125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5" y="15306675"/>
          <a:ext cx="3810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552450</xdr:colOff>
      <xdr:row>42</xdr:row>
      <xdr:rowOff>57150</xdr:rowOff>
    </xdr:from>
    <xdr:to>
      <xdr:col>0</xdr:col>
      <xdr:colOff>866775</xdr:colOff>
      <xdr:row>44</xdr:row>
      <xdr:rowOff>171450</xdr:rowOff>
    </xdr:to>
    <xdr:pic>
      <xdr:nvPicPr>
        <xdr:cNvPr id="861574" name="Picture 125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52450" y="15325725"/>
          <a:ext cx="3143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104775</xdr:colOff>
      <xdr:row>45</xdr:row>
      <xdr:rowOff>161925</xdr:rowOff>
    </xdr:from>
    <xdr:to>
      <xdr:col>0</xdr:col>
      <xdr:colOff>895350</xdr:colOff>
      <xdr:row>47</xdr:row>
      <xdr:rowOff>200025</xdr:rowOff>
    </xdr:to>
    <xdr:pic>
      <xdr:nvPicPr>
        <xdr:cNvPr id="861575" name="Picture 1256"/>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4775" y="1668780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95250</xdr:colOff>
      <xdr:row>42</xdr:row>
      <xdr:rowOff>9525</xdr:rowOff>
    </xdr:from>
    <xdr:to>
      <xdr:col>7</xdr:col>
      <xdr:colOff>409575</xdr:colOff>
      <xdr:row>44</xdr:row>
      <xdr:rowOff>161925</xdr:rowOff>
    </xdr:to>
    <xdr:pic>
      <xdr:nvPicPr>
        <xdr:cNvPr id="861576" name="Picture 127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677775" y="15278100"/>
          <a:ext cx="3143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504825</xdr:colOff>
      <xdr:row>42</xdr:row>
      <xdr:rowOff>9525</xdr:rowOff>
    </xdr:from>
    <xdr:to>
      <xdr:col>7</xdr:col>
      <xdr:colOff>781050</xdr:colOff>
      <xdr:row>44</xdr:row>
      <xdr:rowOff>180975</xdr:rowOff>
    </xdr:to>
    <xdr:pic>
      <xdr:nvPicPr>
        <xdr:cNvPr id="861577" name="Picture 1278"/>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087350" y="15278100"/>
          <a:ext cx="2762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247650</xdr:colOff>
      <xdr:row>48</xdr:row>
      <xdr:rowOff>323850</xdr:rowOff>
    </xdr:from>
    <xdr:to>
      <xdr:col>7</xdr:col>
      <xdr:colOff>666750</xdr:colOff>
      <xdr:row>51</xdr:row>
      <xdr:rowOff>285750</xdr:rowOff>
    </xdr:to>
    <xdr:pic>
      <xdr:nvPicPr>
        <xdr:cNvPr id="861578" name="Picture 1279"/>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830175" y="17859375"/>
          <a:ext cx="4191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76200</xdr:colOff>
      <xdr:row>5</xdr:row>
      <xdr:rowOff>38100</xdr:rowOff>
    </xdr:from>
    <xdr:to>
      <xdr:col>7</xdr:col>
      <xdr:colOff>381000</xdr:colOff>
      <xdr:row>6</xdr:row>
      <xdr:rowOff>314325</xdr:rowOff>
    </xdr:to>
    <xdr:pic>
      <xdr:nvPicPr>
        <xdr:cNvPr id="861579" name="Picture 1280"/>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658725" y="1143000"/>
          <a:ext cx="3048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466725</xdr:colOff>
      <xdr:row>5</xdr:row>
      <xdr:rowOff>38100</xdr:rowOff>
    </xdr:from>
    <xdr:to>
      <xdr:col>7</xdr:col>
      <xdr:colOff>733425</xdr:colOff>
      <xdr:row>6</xdr:row>
      <xdr:rowOff>314325</xdr:rowOff>
    </xdr:to>
    <xdr:pic>
      <xdr:nvPicPr>
        <xdr:cNvPr id="861580" name="Picture 1281"/>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049250" y="1143000"/>
          <a:ext cx="2667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200025</xdr:colOff>
      <xdr:row>11</xdr:row>
      <xdr:rowOff>38100</xdr:rowOff>
    </xdr:from>
    <xdr:to>
      <xdr:col>7</xdr:col>
      <xdr:colOff>523875</xdr:colOff>
      <xdr:row>12</xdr:row>
      <xdr:rowOff>114300</xdr:rowOff>
    </xdr:to>
    <xdr:pic>
      <xdr:nvPicPr>
        <xdr:cNvPr id="861581" name="Picture 1282"/>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2782550" y="344805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190500</xdr:colOff>
      <xdr:row>13</xdr:row>
      <xdr:rowOff>47625</xdr:rowOff>
    </xdr:from>
    <xdr:to>
      <xdr:col>7</xdr:col>
      <xdr:colOff>628650</xdr:colOff>
      <xdr:row>13</xdr:row>
      <xdr:rowOff>495300</xdr:rowOff>
    </xdr:to>
    <xdr:pic>
      <xdr:nvPicPr>
        <xdr:cNvPr id="861582" name="Picture 1283"/>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773025" y="4057650"/>
          <a:ext cx="4381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190500</xdr:colOff>
      <xdr:row>14</xdr:row>
      <xdr:rowOff>38100</xdr:rowOff>
    </xdr:from>
    <xdr:to>
      <xdr:col>7</xdr:col>
      <xdr:colOff>628650</xdr:colOff>
      <xdr:row>15</xdr:row>
      <xdr:rowOff>238125</xdr:rowOff>
    </xdr:to>
    <xdr:pic>
      <xdr:nvPicPr>
        <xdr:cNvPr id="861583" name="Picture 1284"/>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773025" y="4572000"/>
          <a:ext cx="438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228600</xdr:colOff>
      <xdr:row>17</xdr:row>
      <xdr:rowOff>276225</xdr:rowOff>
    </xdr:from>
    <xdr:to>
      <xdr:col>7</xdr:col>
      <xdr:colOff>609600</xdr:colOff>
      <xdr:row>18</xdr:row>
      <xdr:rowOff>342900</xdr:rowOff>
    </xdr:to>
    <xdr:pic>
      <xdr:nvPicPr>
        <xdr:cNvPr id="861584" name="Picture 1285"/>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811125" y="5543550"/>
          <a:ext cx="3810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104775</xdr:colOff>
      <xdr:row>24</xdr:row>
      <xdr:rowOff>47625</xdr:rowOff>
    </xdr:from>
    <xdr:to>
      <xdr:col>7</xdr:col>
      <xdr:colOff>790575</xdr:colOff>
      <xdr:row>25</xdr:row>
      <xdr:rowOff>247650</xdr:rowOff>
    </xdr:to>
    <xdr:pic>
      <xdr:nvPicPr>
        <xdr:cNvPr id="861585" name="Picture 1287"/>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687300" y="9363075"/>
          <a:ext cx="685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85725</xdr:colOff>
      <xdr:row>30</xdr:row>
      <xdr:rowOff>180975</xdr:rowOff>
    </xdr:from>
    <xdr:to>
      <xdr:col>7</xdr:col>
      <xdr:colOff>790575</xdr:colOff>
      <xdr:row>34</xdr:row>
      <xdr:rowOff>247650</xdr:rowOff>
    </xdr:to>
    <xdr:pic>
      <xdr:nvPicPr>
        <xdr:cNvPr id="861586" name="Picture 1289"/>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668250" y="11772900"/>
          <a:ext cx="7048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85725</xdr:colOff>
      <xdr:row>50</xdr:row>
      <xdr:rowOff>85725</xdr:rowOff>
    </xdr:from>
    <xdr:to>
      <xdr:col>0</xdr:col>
      <xdr:colOff>895350</xdr:colOff>
      <xdr:row>51</xdr:row>
      <xdr:rowOff>38100</xdr:rowOff>
    </xdr:to>
    <xdr:pic>
      <xdr:nvPicPr>
        <xdr:cNvPr id="861587" name="Picture 12148"/>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5725" y="18354675"/>
          <a:ext cx="8096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21</xdr:row>
      <xdr:rowOff>238125</xdr:rowOff>
    </xdr:from>
    <xdr:to>
      <xdr:col>0</xdr:col>
      <xdr:colOff>885825</xdr:colOff>
      <xdr:row>22</xdr:row>
      <xdr:rowOff>257175</xdr:rowOff>
    </xdr:to>
    <xdr:pic>
      <xdr:nvPicPr>
        <xdr:cNvPr id="861588" name="Picture 3538"/>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3825" y="7972425"/>
          <a:ext cx="762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39</xdr:row>
      <xdr:rowOff>28575</xdr:rowOff>
    </xdr:from>
    <xdr:to>
      <xdr:col>0</xdr:col>
      <xdr:colOff>914400</xdr:colOff>
      <xdr:row>40</xdr:row>
      <xdr:rowOff>123825</xdr:rowOff>
    </xdr:to>
    <xdr:pic>
      <xdr:nvPicPr>
        <xdr:cNvPr id="861589" name="Picture 4625"/>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04775" y="14582775"/>
          <a:ext cx="8096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14</xdr:row>
      <xdr:rowOff>66675</xdr:rowOff>
    </xdr:from>
    <xdr:to>
      <xdr:col>0</xdr:col>
      <xdr:colOff>895350</xdr:colOff>
      <xdr:row>16</xdr:row>
      <xdr:rowOff>104775</xdr:rowOff>
    </xdr:to>
    <xdr:pic>
      <xdr:nvPicPr>
        <xdr:cNvPr id="861590" name="Picture 6067"/>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95250" y="4600575"/>
          <a:ext cx="8001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53</xdr:row>
      <xdr:rowOff>28575</xdr:rowOff>
    </xdr:from>
    <xdr:to>
      <xdr:col>0</xdr:col>
      <xdr:colOff>685800</xdr:colOff>
      <xdr:row>53</xdr:row>
      <xdr:rowOff>428625</xdr:rowOff>
    </xdr:to>
    <xdr:pic>
      <xdr:nvPicPr>
        <xdr:cNvPr id="861591" name="Picture 7497"/>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66700" y="19411950"/>
          <a:ext cx="4191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54</xdr:row>
      <xdr:rowOff>19050</xdr:rowOff>
    </xdr:from>
    <xdr:to>
      <xdr:col>0</xdr:col>
      <xdr:colOff>704850</xdr:colOff>
      <xdr:row>55</xdr:row>
      <xdr:rowOff>180975</xdr:rowOff>
    </xdr:to>
    <xdr:pic>
      <xdr:nvPicPr>
        <xdr:cNvPr id="861592" name="Picture 7499"/>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90500" y="19850100"/>
          <a:ext cx="5143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56</xdr:row>
      <xdr:rowOff>28575</xdr:rowOff>
    </xdr:from>
    <xdr:to>
      <xdr:col>0</xdr:col>
      <xdr:colOff>676275</xdr:colOff>
      <xdr:row>57</xdr:row>
      <xdr:rowOff>47625</xdr:rowOff>
    </xdr:to>
    <xdr:pic>
      <xdr:nvPicPr>
        <xdr:cNvPr id="861593" name="Picture 7815"/>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6700" y="20316825"/>
          <a:ext cx="4095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36</xdr:row>
      <xdr:rowOff>47625</xdr:rowOff>
    </xdr:from>
    <xdr:to>
      <xdr:col>0</xdr:col>
      <xdr:colOff>885825</xdr:colOff>
      <xdr:row>37</xdr:row>
      <xdr:rowOff>381000</xdr:rowOff>
    </xdr:to>
    <xdr:pic>
      <xdr:nvPicPr>
        <xdr:cNvPr id="861594" name="Picture 7657"/>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6200" y="13639800"/>
          <a:ext cx="809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20</xdr:row>
      <xdr:rowOff>19050</xdr:rowOff>
    </xdr:from>
    <xdr:to>
      <xdr:col>0</xdr:col>
      <xdr:colOff>971550</xdr:colOff>
      <xdr:row>21</xdr:row>
      <xdr:rowOff>0</xdr:rowOff>
    </xdr:to>
    <xdr:pic>
      <xdr:nvPicPr>
        <xdr:cNvPr id="861595" name="Picture 7659"/>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9050" y="7115175"/>
          <a:ext cx="9525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238125</xdr:colOff>
      <xdr:row>8</xdr:row>
      <xdr:rowOff>19050</xdr:rowOff>
    </xdr:from>
    <xdr:to>
      <xdr:col>7</xdr:col>
      <xdr:colOff>676275</xdr:colOff>
      <xdr:row>9</xdr:row>
      <xdr:rowOff>142875</xdr:rowOff>
    </xdr:to>
    <xdr:pic>
      <xdr:nvPicPr>
        <xdr:cNvPr id="861596" name="Picture 11599"/>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820650" y="2276475"/>
          <a:ext cx="4381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20</xdr:row>
      <xdr:rowOff>333375</xdr:rowOff>
    </xdr:from>
    <xdr:to>
      <xdr:col>7</xdr:col>
      <xdr:colOff>838200</xdr:colOff>
      <xdr:row>21</xdr:row>
      <xdr:rowOff>76200</xdr:rowOff>
    </xdr:to>
    <xdr:pic>
      <xdr:nvPicPr>
        <xdr:cNvPr id="861597" name="Рисунок 43" descr="20049.jpg"/>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687300" y="7429500"/>
          <a:ext cx="733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xdr:colOff>
      <xdr:row>26</xdr:row>
      <xdr:rowOff>114300</xdr:rowOff>
    </xdr:from>
    <xdr:to>
      <xdr:col>7</xdr:col>
      <xdr:colOff>866775</xdr:colOff>
      <xdr:row>27</xdr:row>
      <xdr:rowOff>9525</xdr:rowOff>
    </xdr:to>
    <xdr:pic>
      <xdr:nvPicPr>
        <xdr:cNvPr id="861598" name="Рисунок 44" descr="20077.jpg"/>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658725" y="10172700"/>
          <a:ext cx="7905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22</xdr:row>
      <xdr:rowOff>228600</xdr:rowOff>
    </xdr:from>
    <xdr:to>
      <xdr:col>7</xdr:col>
      <xdr:colOff>885825</xdr:colOff>
      <xdr:row>23</xdr:row>
      <xdr:rowOff>323850</xdr:rowOff>
    </xdr:to>
    <xdr:pic>
      <xdr:nvPicPr>
        <xdr:cNvPr id="861599" name="Рисунок 45" descr="20041.jpg"/>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620625" y="8505825"/>
          <a:ext cx="847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23</xdr:row>
      <xdr:rowOff>66675</xdr:rowOff>
    </xdr:from>
    <xdr:to>
      <xdr:col>0</xdr:col>
      <xdr:colOff>933450</xdr:colOff>
      <xdr:row>24</xdr:row>
      <xdr:rowOff>257175</xdr:rowOff>
    </xdr:to>
    <xdr:pic>
      <xdr:nvPicPr>
        <xdr:cNvPr id="861600" name="Рисунок 43" descr="20858.jpg"/>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l="1286" r="3571"/>
        <a:stretch>
          <a:fillRect/>
        </a:stretch>
      </xdr:blipFill>
      <xdr:spPr bwMode="auto">
        <a:xfrm>
          <a:off x="28575" y="8858250"/>
          <a:ext cx="9048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266700</xdr:colOff>
      <xdr:row>37</xdr:row>
      <xdr:rowOff>57150</xdr:rowOff>
    </xdr:from>
    <xdr:to>
      <xdr:col>8</xdr:col>
      <xdr:colOff>828675</xdr:colOff>
      <xdr:row>37</xdr:row>
      <xdr:rowOff>285750</xdr:rowOff>
    </xdr:to>
    <xdr:pic>
      <xdr:nvPicPr>
        <xdr:cNvPr id="851591" name="Picture 27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96475" y="13449300"/>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8</xdr:col>
      <xdr:colOff>257175</xdr:colOff>
      <xdr:row>36</xdr:row>
      <xdr:rowOff>38100</xdr:rowOff>
    </xdr:from>
    <xdr:to>
      <xdr:col>8</xdr:col>
      <xdr:colOff>1123950</xdr:colOff>
      <xdr:row>36</xdr:row>
      <xdr:rowOff>485775</xdr:rowOff>
    </xdr:to>
    <xdr:pic>
      <xdr:nvPicPr>
        <xdr:cNvPr id="851592" name="Picture 1062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6950" y="12906375"/>
          <a:ext cx="8667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1257300</xdr:colOff>
      <xdr:row>7</xdr:row>
      <xdr:rowOff>47625</xdr:rowOff>
    </xdr:from>
    <xdr:to>
      <xdr:col>2</xdr:col>
      <xdr:colOff>628650</xdr:colOff>
      <xdr:row>7</xdr:row>
      <xdr:rowOff>419100</xdr:rowOff>
    </xdr:to>
    <xdr:pic>
      <xdr:nvPicPr>
        <xdr:cNvPr id="851593" name="Picture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43150" y="1676400"/>
          <a:ext cx="8382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1295400</xdr:colOff>
      <xdr:row>8</xdr:row>
      <xdr:rowOff>47625</xdr:rowOff>
    </xdr:from>
    <xdr:to>
      <xdr:col>2</xdr:col>
      <xdr:colOff>542925</xdr:colOff>
      <xdr:row>8</xdr:row>
      <xdr:rowOff>409575</xdr:rowOff>
    </xdr:to>
    <xdr:pic>
      <xdr:nvPicPr>
        <xdr:cNvPr id="851594" name="Picture 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0" y="2133600"/>
          <a:ext cx="7143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1247775</xdr:colOff>
      <xdr:row>9</xdr:row>
      <xdr:rowOff>38100</xdr:rowOff>
    </xdr:from>
    <xdr:to>
      <xdr:col>2</xdr:col>
      <xdr:colOff>571500</xdr:colOff>
      <xdr:row>10</xdr:row>
      <xdr:rowOff>142875</xdr:rowOff>
    </xdr:to>
    <xdr:pic>
      <xdr:nvPicPr>
        <xdr:cNvPr id="851595" name="Picture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33625" y="2590800"/>
          <a:ext cx="7905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561975</xdr:colOff>
      <xdr:row>20</xdr:row>
      <xdr:rowOff>28575</xdr:rowOff>
    </xdr:from>
    <xdr:to>
      <xdr:col>4</xdr:col>
      <xdr:colOff>1371600</xdr:colOff>
      <xdr:row>20</xdr:row>
      <xdr:rowOff>485775</xdr:rowOff>
    </xdr:to>
    <xdr:pic>
      <xdr:nvPicPr>
        <xdr:cNvPr id="851596" name="Picture 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953125"/>
          <a:ext cx="8096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533400</xdr:colOff>
      <xdr:row>25</xdr:row>
      <xdr:rowOff>28575</xdr:rowOff>
    </xdr:from>
    <xdr:to>
      <xdr:col>4</xdr:col>
      <xdr:colOff>1352550</xdr:colOff>
      <xdr:row>25</xdr:row>
      <xdr:rowOff>409575</xdr:rowOff>
    </xdr:to>
    <xdr:pic>
      <xdr:nvPicPr>
        <xdr:cNvPr id="851597" name="Picture 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62575" y="8648700"/>
          <a:ext cx="8191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1457325</xdr:colOff>
      <xdr:row>31</xdr:row>
      <xdr:rowOff>47625</xdr:rowOff>
    </xdr:from>
    <xdr:to>
      <xdr:col>2</xdr:col>
      <xdr:colOff>771525</xdr:colOff>
      <xdr:row>31</xdr:row>
      <xdr:rowOff>428625</xdr:rowOff>
    </xdr:to>
    <xdr:pic>
      <xdr:nvPicPr>
        <xdr:cNvPr id="851598" name="Picture 1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43175" y="10953750"/>
          <a:ext cx="781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1447800</xdr:colOff>
      <xdr:row>32</xdr:row>
      <xdr:rowOff>38100</xdr:rowOff>
    </xdr:from>
    <xdr:to>
      <xdr:col>2</xdr:col>
      <xdr:colOff>828675</xdr:colOff>
      <xdr:row>32</xdr:row>
      <xdr:rowOff>457200</xdr:rowOff>
    </xdr:to>
    <xdr:pic>
      <xdr:nvPicPr>
        <xdr:cNvPr id="851599" name="Picture 1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533650" y="11382375"/>
          <a:ext cx="8477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2</xdr:col>
      <xdr:colOff>0</xdr:colOff>
      <xdr:row>34</xdr:row>
      <xdr:rowOff>28575</xdr:rowOff>
    </xdr:from>
    <xdr:to>
      <xdr:col>2</xdr:col>
      <xdr:colOff>819150</xdr:colOff>
      <xdr:row>35</xdr:row>
      <xdr:rowOff>38100</xdr:rowOff>
    </xdr:to>
    <xdr:pic>
      <xdr:nvPicPr>
        <xdr:cNvPr id="851600" name="Picture 1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552700" y="12039600"/>
          <a:ext cx="8191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2</xdr:col>
      <xdr:colOff>28575</xdr:colOff>
      <xdr:row>35</xdr:row>
      <xdr:rowOff>38100</xdr:rowOff>
    </xdr:from>
    <xdr:to>
      <xdr:col>2</xdr:col>
      <xdr:colOff>790575</xdr:colOff>
      <xdr:row>35</xdr:row>
      <xdr:rowOff>409575</xdr:rowOff>
    </xdr:to>
    <xdr:pic>
      <xdr:nvPicPr>
        <xdr:cNvPr id="851601" name="Picture 1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581275" y="12449175"/>
          <a:ext cx="762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2</xdr:col>
      <xdr:colOff>0</xdr:colOff>
      <xdr:row>36</xdr:row>
      <xdr:rowOff>47625</xdr:rowOff>
    </xdr:from>
    <xdr:to>
      <xdr:col>2</xdr:col>
      <xdr:colOff>771525</xdr:colOff>
      <xdr:row>36</xdr:row>
      <xdr:rowOff>381000</xdr:rowOff>
    </xdr:to>
    <xdr:pic>
      <xdr:nvPicPr>
        <xdr:cNvPr id="851602" name="Picture 15"/>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552700" y="12915900"/>
          <a:ext cx="771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733425</xdr:colOff>
      <xdr:row>18</xdr:row>
      <xdr:rowOff>38100</xdr:rowOff>
    </xdr:from>
    <xdr:to>
      <xdr:col>4</xdr:col>
      <xdr:colOff>1362075</xdr:colOff>
      <xdr:row>18</xdr:row>
      <xdr:rowOff>428625</xdr:rowOff>
    </xdr:to>
    <xdr:pic>
      <xdr:nvPicPr>
        <xdr:cNvPr id="851603" name="Picture 16"/>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62600" y="5276850"/>
          <a:ext cx="6286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714375</xdr:colOff>
      <xdr:row>21</xdr:row>
      <xdr:rowOff>57150</xdr:rowOff>
    </xdr:from>
    <xdr:to>
      <xdr:col>4</xdr:col>
      <xdr:colOff>1219200</xdr:colOff>
      <xdr:row>21</xdr:row>
      <xdr:rowOff>447675</xdr:rowOff>
    </xdr:to>
    <xdr:pic>
      <xdr:nvPicPr>
        <xdr:cNvPr id="851604" name="Picture 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543550" y="6515100"/>
          <a:ext cx="5048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1200150</xdr:colOff>
      <xdr:row>14</xdr:row>
      <xdr:rowOff>57150</xdr:rowOff>
    </xdr:from>
    <xdr:to>
      <xdr:col>2</xdr:col>
      <xdr:colOff>504825</xdr:colOff>
      <xdr:row>14</xdr:row>
      <xdr:rowOff>390525</xdr:rowOff>
    </xdr:to>
    <xdr:pic>
      <xdr:nvPicPr>
        <xdr:cNvPr id="851605" name="Picture 1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86000" y="3990975"/>
          <a:ext cx="771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1171575</xdr:colOff>
      <xdr:row>15</xdr:row>
      <xdr:rowOff>66675</xdr:rowOff>
    </xdr:from>
    <xdr:to>
      <xdr:col>2</xdr:col>
      <xdr:colOff>542925</xdr:colOff>
      <xdr:row>15</xdr:row>
      <xdr:rowOff>390525</xdr:rowOff>
    </xdr:to>
    <xdr:pic>
      <xdr:nvPicPr>
        <xdr:cNvPr id="851606" name="Picture 1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257425" y="4467225"/>
          <a:ext cx="838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857250</xdr:colOff>
      <xdr:row>22</xdr:row>
      <xdr:rowOff>19050</xdr:rowOff>
    </xdr:from>
    <xdr:to>
      <xdr:col>4</xdr:col>
      <xdr:colOff>1076325</xdr:colOff>
      <xdr:row>22</xdr:row>
      <xdr:rowOff>485775</xdr:rowOff>
    </xdr:to>
    <xdr:pic>
      <xdr:nvPicPr>
        <xdr:cNvPr id="851607" name="Picture 2049"/>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86425" y="7010400"/>
          <a:ext cx="219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885825</xdr:colOff>
      <xdr:row>23</xdr:row>
      <xdr:rowOff>19050</xdr:rowOff>
    </xdr:from>
    <xdr:to>
      <xdr:col>4</xdr:col>
      <xdr:colOff>1066800</xdr:colOff>
      <xdr:row>23</xdr:row>
      <xdr:rowOff>485775</xdr:rowOff>
    </xdr:to>
    <xdr:pic>
      <xdr:nvPicPr>
        <xdr:cNvPr id="851608" name="Picture 2051"/>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715000" y="7553325"/>
          <a:ext cx="180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24</xdr:row>
      <xdr:rowOff>28575</xdr:rowOff>
    </xdr:from>
    <xdr:to>
      <xdr:col>4</xdr:col>
      <xdr:colOff>1152525</xdr:colOff>
      <xdr:row>24</xdr:row>
      <xdr:rowOff>476250</xdr:rowOff>
    </xdr:to>
    <xdr:pic>
      <xdr:nvPicPr>
        <xdr:cNvPr id="851609" name="Picture 205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562600" y="8115300"/>
          <a:ext cx="4191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1257300</xdr:colOff>
      <xdr:row>11</xdr:row>
      <xdr:rowOff>28575</xdr:rowOff>
    </xdr:from>
    <xdr:to>
      <xdr:col>2</xdr:col>
      <xdr:colOff>571500</xdr:colOff>
      <xdr:row>11</xdr:row>
      <xdr:rowOff>457200</xdr:rowOff>
    </xdr:to>
    <xdr:pic>
      <xdr:nvPicPr>
        <xdr:cNvPr id="851610" name="Picture 9365"/>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343150" y="3038475"/>
          <a:ext cx="7810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28575</xdr:rowOff>
    </xdr:from>
    <xdr:to>
      <xdr:col>2</xdr:col>
      <xdr:colOff>657225</xdr:colOff>
      <xdr:row>37</xdr:row>
      <xdr:rowOff>428625</xdr:rowOff>
    </xdr:to>
    <xdr:pic>
      <xdr:nvPicPr>
        <xdr:cNvPr id="851611" name="Picture 9367"/>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552700" y="13420725"/>
          <a:ext cx="6572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847725</xdr:colOff>
      <xdr:row>27</xdr:row>
      <xdr:rowOff>28575</xdr:rowOff>
    </xdr:from>
    <xdr:to>
      <xdr:col>4</xdr:col>
      <xdr:colOff>1133475</xdr:colOff>
      <xdr:row>27</xdr:row>
      <xdr:rowOff>666750</xdr:rowOff>
    </xdr:to>
    <xdr:pic>
      <xdr:nvPicPr>
        <xdr:cNvPr id="851612" name="Picture 504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676900" y="9353550"/>
          <a:ext cx="285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30</xdr:row>
      <xdr:rowOff>9525</xdr:rowOff>
    </xdr:from>
    <xdr:to>
      <xdr:col>2</xdr:col>
      <xdr:colOff>876300</xdr:colOff>
      <xdr:row>30</xdr:row>
      <xdr:rowOff>495300</xdr:rowOff>
    </xdr:to>
    <xdr:pic>
      <xdr:nvPicPr>
        <xdr:cNvPr id="851613" name="Рисунок 28"/>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581275" y="10391775"/>
          <a:ext cx="8477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704850</xdr:colOff>
      <xdr:row>10</xdr:row>
      <xdr:rowOff>28575</xdr:rowOff>
    </xdr:from>
    <xdr:to>
      <xdr:col>9</xdr:col>
      <xdr:colOff>1409700</xdr:colOff>
      <xdr:row>11</xdr:row>
      <xdr:rowOff>485775</xdr:rowOff>
    </xdr:to>
    <xdr:pic>
      <xdr:nvPicPr>
        <xdr:cNvPr id="851614" name="Рисунок 24" descr="Аэроэлемент КТВ ТехноНИКОЛЬ.jpg"/>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63525" y="2828925"/>
          <a:ext cx="7048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657225</xdr:colOff>
      <xdr:row>12</xdr:row>
      <xdr:rowOff>38100</xdr:rowOff>
    </xdr:from>
    <xdr:to>
      <xdr:col>9</xdr:col>
      <xdr:colOff>1485900</xdr:colOff>
      <xdr:row>13</xdr:row>
      <xdr:rowOff>152400</xdr:rowOff>
    </xdr:to>
    <xdr:pic>
      <xdr:nvPicPr>
        <xdr:cNvPr id="851615" name="Рисунок 25" descr="Аэратор ТехноНИКОЛЬ КТВ-альфа чёрный.jpg"/>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915900" y="3571875"/>
          <a:ext cx="8286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1495425</xdr:colOff>
      <xdr:row>15</xdr:row>
      <xdr:rowOff>28575</xdr:rowOff>
    </xdr:from>
    <xdr:to>
      <xdr:col>11</xdr:col>
      <xdr:colOff>1704975</xdr:colOff>
      <xdr:row>16</xdr:row>
      <xdr:rowOff>142875</xdr:rowOff>
    </xdr:to>
    <xdr:pic>
      <xdr:nvPicPr>
        <xdr:cNvPr id="851616" name="Рисунок 26" descr="Вентиляционный выход ТехноНИКОЛЬ D110.jpg"/>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6821150" y="4429125"/>
          <a:ext cx="2095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1514475</xdr:colOff>
      <xdr:row>17</xdr:row>
      <xdr:rowOff>38100</xdr:rowOff>
    </xdr:from>
    <xdr:to>
      <xdr:col>11</xdr:col>
      <xdr:colOff>1714500</xdr:colOff>
      <xdr:row>18</xdr:row>
      <xdr:rowOff>476250</xdr:rowOff>
    </xdr:to>
    <xdr:pic>
      <xdr:nvPicPr>
        <xdr:cNvPr id="851617" name="Рисунок 27" descr="Вентиляционный выход ТехноНИКОЛЬ D125-160.jpg"/>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6840200" y="5095875"/>
          <a:ext cx="2000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1419225</xdr:colOff>
      <xdr:row>19</xdr:row>
      <xdr:rowOff>85725</xdr:rowOff>
    </xdr:from>
    <xdr:to>
      <xdr:col>11</xdr:col>
      <xdr:colOff>1838325</xdr:colOff>
      <xdr:row>20</xdr:row>
      <xdr:rowOff>361950</xdr:rowOff>
    </xdr:to>
    <xdr:pic>
      <xdr:nvPicPr>
        <xdr:cNvPr id="851618" name="Рисунок 28" descr="Колпак ТехноНИКОЛЬ D110-D160.jpg"/>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6744950" y="58483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1419225</xdr:colOff>
      <xdr:row>21</xdr:row>
      <xdr:rowOff>38100</xdr:rowOff>
    </xdr:from>
    <xdr:to>
      <xdr:col>11</xdr:col>
      <xdr:colOff>1838325</xdr:colOff>
      <xdr:row>21</xdr:row>
      <xdr:rowOff>476250</xdr:rowOff>
    </xdr:to>
    <xdr:pic>
      <xdr:nvPicPr>
        <xdr:cNvPr id="851619" name="Рисунок 29" descr="Колпак ТехноНИКОЛЬ D110-D160.jpg"/>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6744950" y="64960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1133475</xdr:colOff>
      <xdr:row>23</xdr:row>
      <xdr:rowOff>38100</xdr:rowOff>
    </xdr:from>
    <xdr:to>
      <xdr:col>9</xdr:col>
      <xdr:colOff>1695450</xdr:colOff>
      <xdr:row>23</xdr:row>
      <xdr:rowOff>495300</xdr:rowOff>
    </xdr:to>
    <xdr:pic>
      <xdr:nvPicPr>
        <xdr:cNvPr id="851620" name="Рисунок 30" descr="Проходной элемент SKAT Monterrey.jpg"/>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3392150" y="7572375"/>
          <a:ext cx="5619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1085850</xdr:colOff>
      <xdr:row>24</xdr:row>
      <xdr:rowOff>38100</xdr:rowOff>
    </xdr:from>
    <xdr:to>
      <xdr:col>9</xdr:col>
      <xdr:colOff>1704975</xdr:colOff>
      <xdr:row>24</xdr:row>
      <xdr:rowOff>476250</xdr:rowOff>
    </xdr:to>
    <xdr:pic>
      <xdr:nvPicPr>
        <xdr:cNvPr id="851621" name="Рисунок 31" descr="Проходной элемент SKAT кровельный.jpg"/>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3344525" y="8124825"/>
          <a:ext cx="6191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1114425</xdr:colOff>
      <xdr:row>25</xdr:row>
      <xdr:rowOff>95250</xdr:rowOff>
    </xdr:from>
    <xdr:to>
      <xdr:col>9</xdr:col>
      <xdr:colOff>1676400</xdr:colOff>
      <xdr:row>26</xdr:row>
      <xdr:rowOff>57150</xdr:rowOff>
    </xdr:to>
    <xdr:pic>
      <xdr:nvPicPr>
        <xdr:cNvPr id="851622" name="Рисунок 32" descr="Проходной элемент ТехноНИКОЛЬ.jpg"/>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3373100" y="8715375"/>
          <a:ext cx="5619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752475</xdr:colOff>
      <xdr:row>7</xdr:row>
      <xdr:rowOff>28575</xdr:rowOff>
    </xdr:from>
    <xdr:to>
      <xdr:col>9</xdr:col>
      <xdr:colOff>1352550</xdr:colOff>
      <xdr:row>7</xdr:row>
      <xdr:rowOff>428625</xdr:rowOff>
    </xdr:to>
    <xdr:pic>
      <xdr:nvPicPr>
        <xdr:cNvPr id="851623" name="Рисунок 33" descr="Вентиль SKAT Monterrey кровельный.jpg"/>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3011150" y="1657350"/>
          <a:ext cx="6000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723900</xdr:colOff>
      <xdr:row>8</xdr:row>
      <xdr:rowOff>28575</xdr:rowOff>
    </xdr:from>
    <xdr:to>
      <xdr:col>9</xdr:col>
      <xdr:colOff>1352550</xdr:colOff>
      <xdr:row>8</xdr:row>
      <xdr:rowOff>428625</xdr:rowOff>
    </xdr:to>
    <xdr:pic>
      <xdr:nvPicPr>
        <xdr:cNvPr id="851624" name="Рисунок 34" descr="Вентиль SKAT кровельный.jpg"/>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982575" y="2114550"/>
          <a:ext cx="6286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304800</xdr:colOff>
      <xdr:row>25</xdr:row>
      <xdr:rowOff>190500</xdr:rowOff>
    </xdr:from>
    <xdr:to>
      <xdr:col>9</xdr:col>
      <xdr:colOff>866775</xdr:colOff>
      <xdr:row>26</xdr:row>
      <xdr:rowOff>190500</xdr:rowOff>
    </xdr:to>
    <xdr:pic>
      <xdr:nvPicPr>
        <xdr:cNvPr id="648819" name="Picture 27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12144375"/>
          <a:ext cx="561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9</xdr:col>
      <xdr:colOff>161925</xdr:colOff>
      <xdr:row>24</xdr:row>
      <xdr:rowOff>66675</xdr:rowOff>
    </xdr:from>
    <xdr:to>
      <xdr:col>9</xdr:col>
      <xdr:colOff>1028700</xdr:colOff>
      <xdr:row>24</xdr:row>
      <xdr:rowOff>514350</xdr:rowOff>
    </xdr:to>
    <xdr:pic>
      <xdr:nvPicPr>
        <xdr:cNvPr id="648820" name="Picture 1062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1487150"/>
          <a:ext cx="8667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5</xdr:row>
      <xdr:rowOff>28575</xdr:rowOff>
    </xdr:from>
    <xdr:to>
      <xdr:col>0</xdr:col>
      <xdr:colOff>1781175</xdr:colOff>
      <xdr:row>6</xdr:row>
      <xdr:rowOff>400050</xdr:rowOff>
    </xdr:to>
    <xdr:pic>
      <xdr:nvPicPr>
        <xdr:cNvPr id="853536" name="Picture 7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095375"/>
          <a:ext cx="17430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8</xdr:row>
      <xdr:rowOff>28575</xdr:rowOff>
    </xdr:from>
    <xdr:to>
      <xdr:col>0</xdr:col>
      <xdr:colOff>1762125</xdr:colOff>
      <xdr:row>9</xdr:row>
      <xdr:rowOff>361950</xdr:rowOff>
    </xdr:to>
    <xdr:pic>
      <xdr:nvPicPr>
        <xdr:cNvPr id="853537" name="Picture 8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2152650"/>
          <a:ext cx="17240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10</xdr:row>
      <xdr:rowOff>47625</xdr:rowOff>
    </xdr:from>
    <xdr:to>
      <xdr:col>0</xdr:col>
      <xdr:colOff>1714500</xdr:colOff>
      <xdr:row>12</xdr:row>
      <xdr:rowOff>295275</xdr:rowOff>
    </xdr:to>
    <xdr:pic>
      <xdr:nvPicPr>
        <xdr:cNvPr id="853538" name="Picture 8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 y="2933700"/>
          <a:ext cx="16668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13</xdr:row>
      <xdr:rowOff>9525</xdr:rowOff>
    </xdr:from>
    <xdr:to>
      <xdr:col>0</xdr:col>
      <xdr:colOff>1123950</xdr:colOff>
      <xdr:row>14</xdr:row>
      <xdr:rowOff>400050</xdr:rowOff>
    </xdr:to>
    <xdr:pic>
      <xdr:nvPicPr>
        <xdr:cNvPr id="853539" name="Picture 8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3705225"/>
          <a:ext cx="6286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16</xdr:row>
      <xdr:rowOff>38100</xdr:rowOff>
    </xdr:from>
    <xdr:to>
      <xdr:col>0</xdr:col>
      <xdr:colOff>1771650</xdr:colOff>
      <xdr:row>17</xdr:row>
      <xdr:rowOff>409575</xdr:rowOff>
    </xdr:to>
    <xdr:pic>
      <xdr:nvPicPr>
        <xdr:cNvPr id="853540" name="Picture 8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 y="4486275"/>
          <a:ext cx="1743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18</xdr:row>
      <xdr:rowOff>38100</xdr:rowOff>
    </xdr:from>
    <xdr:to>
      <xdr:col>0</xdr:col>
      <xdr:colOff>1743075</xdr:colOff>
      <xdr:row>19</xdr:row>
      <xdr:rowOff>371475</xdr:rowOff>
    </xdr:to>
    <xdr:pic>
      <xdr:nvPicPr>
        <xdr:cNvPr id="853541" name="Picture 8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675" y="5353050"/>
          <a:ext cx="16764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21</xdr:row>
      <xdr:rowOff>66675</xdr:rowOff>
    </xdr:from>
    <xdr:to>
      <xdr:col>0</xdr:col>
      <xdr:colOff>1752600</xdr:colOff>
      <xdr:row>21</xdr:row>
      <xdr:rowOff>523875</xdr:rowOff>
    </xdr:to>
    <xdr:pic>
      <xdr:nvPicPr>
        <xdr:cNvPr id="853542" name="Picture 9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675" y="6381750"/>
          <a:ext cx="16859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22</xdr:row>
      <xdr:rowOff>38100</xdr:rowOff>
    </xdr:from>
    <xdr:to>
      <xdr:col>0</xdr:col>
      <xdr:colOff>1704975</xdr:colOff>
      <xdr:row>22</xdr:row>
      <xdr:rowOff>561975</xdr:rowOff>
    </xdr:to>
    <xdr:pic>
      <xdr:nvPicPr>
        <xdr:cNvPr id="853543" name="Picture 9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525" y="6972300"/>
          <a:ext cx="16954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23</xdr:row>
      <xdr:rowOff>123825</xdr:rowOff>
    </xdr:from>
    <xdr:to>
      <xdr:col>0</xdr:col>
      <xdr:colOff>1743075</xdr:colOff>
      <xdr:row>24</xdr:row>
      <xdr:rowOff>438150</xdr:rowOff>
    </xdr:to>
    <xdr:pic>
      <xdr:nvPicPr>
        <xdr:cNvPr id="853544" name="Picture 9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 y="7629525"/>
          <a:ext cx="16383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123825</xdr:rowOff>
    </xdr:from>
    <xdr:to>
      <xdr:col>0</xdr:col>
      <xdr:colOff>1743075</xdr:colOff>
      <xdr:row>25</xdr:row>
      <xdr:rowOff>523875</xdr:rowOff>
    </xdr:to>
    <xdr:pic>
      <xdr:nvPicPr>
        <xdr:cNvPr id="853545" name="Picture 9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4300" y="8439150"/>
          <a:ext cx="1628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26</xdr:row>
      <xdr:rowOff>28575</xdr:rowOff>
    </xdr:from>
    <xdr:to>
      <xdr:col>0</xdr:col>
      <xdr:colOff>1828800</xdr:colOff>
      <xdr:row>26</xdr:row>
      <xdr:rowOff>561975</xdr:rowOff>
    </xdr:to>
    <xdr:pic>
      <xdr:nvPicPr>
        <xdr:cNvPr id="853546" name="Picture 99"/>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6675" y="8991600"/>
          <a:ext cx="17621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5</xdr:row>
      <xdr:rowOff>238125</xdr:rowOff>
    </xdr:from>
    <xdr:to>
      <xdr:col>5</xdr:col>
      <xdr:colOff>1762125</xdr:colOff>
      <xdr:row>8</xdr:row>
      <xdr:rowOff>352425</xdr:rowOff>
    </xdr:to>
    <xdr:pic>
      <xdr:nvPicPr>
        <xdr:cNvPr id="853547" name="Picture 101"/>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114925" y="1304925"/>
          <a:ext cx="17621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11</xdr:row>
      <xdr:rowOff>9525</xdr:rowOff>
    </xdr:from>
    <xdr:to>
      <xdr:col>5</xdr:col>
      <xdr:colOff>1752600</xdr:colOff>
      <xdr:row>13</xdr:row>
      <xdr:rowOff>0</xdr:rowOff>
    </xdr:to>
    <xdr:pic>
      <xdr:nvPicPr>
        <xdr:cNvPr id="853548" name="Picture 10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162550" y="3057525"/>
          <a:ext cx="1704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15</xdr:row>
      <xdr:rowOff>114300</xdr:rowOff>
    </xdr:from>
    <xdr:to>
      <xdr:col>5</xdr:col>
      <xdr:colOff>1771650</xdr:colOff>
      <xdr:row>19</xdr:row>
      <xdr:rowOff>9525</xdr:rowOff>
    </xdr:to>
    <xdr:pic>
      <xdr:nvPicPr>
        <xdr:cNvPr id="853549" name="Picture 10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153025" y="4381500"/>
          <a:ext cx="17335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180975</xdr:colOff>
      <xdr:row>21</xdr:row>
      <xdr:rowOff>9525</xdr:rowOff>
    </xdr:from>
    <xdr:to>
      <xdr:col>5</xdr:col>
      <xdr:colOff>1571625</xdr:colOff>
      <xdr:row>21</xdr:row>
      <xdr:rowOff>590550</xdr:rowOff>
    </xdr:to>
    <xdr:pic>
      <xdr:nvPicPr>
        <xdr:cNvPr id="853550" name="Picture 10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295900" y="6324600"/>
          <a:ext cx="13906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180975</xdr:colOff>
      <xdr:row>22</xdr:row>
      <xdr:rowOff>28575</xdr:rowOff>
    </xdr:from>
    <xdr:to>
      <xdr:col>5</xdr:col>
      <xdr:colOff>1571625</xdr:colOff>
      <xdr:row>22</xdr:row>
      <xdr:rowOff>561975</xdr:rowOff>
    </xdr:to>
    <xdr:pic>
      <xdr:nvPicPr>
        <xdr:cNvPr id="853551" name="Picture 10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295900" y="6962775"/>
          <a:ext cx="13906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161925</xdr:colOff>
      <xdr:row>24</xdr:row>
      <xdr:rowOff>28575</xdr:rowOff>
    </xdr:from>
    <xdr:to>
      <xdr:col>5</xdr:col>
      <xdr:colOff>1714500</xdr:colOff>
      <xdr:row>24</xdr:row>
      <xdr:rowOff>619125</xdr:rowOff>
    </xdr:to>
    <xdr:pic>
      <xdr:nvPicPr>
        <xdr:cNvPr id="853552" name="Picture 111"/>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276850" y="7696200"/>
          <a:ext cx="15525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85725</xdr:colOff>
      <xdr:row>25</xdr:row>
      <xdr:rowOff>28575</xdr:rowOff>
    </xdr:from>
    <xdr:to>
      <xdr:col>5</xdr:col>
      <xdr:colOff>1752600</xdr:colOff>
      <xdr:row>25</xdr:row>
      <xdr:rowOff>609600</xdr:rowOff>
    </xdr:to>
    <xdr:pic>
      <xdr:nvPicPr>
        <xdr:cNvPr id="853553" name="Picture 113"/>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200650" y="8343900"/>
          <a:ext cx="16668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257175</xdr:colOff>
      <xdr:row>26</xdr:row>
      <xdr:rowOff>9525</xdr:rowOff>
    </xdr:from>
    <xdr:to>
      <xdr:col>5</xdr:col>
      <xdr:colOff>1514475</xdr:colOff>
      <xdr:row>26</xdr:row>
      <xdr:rowOff>609600</xdr:rowOff>
    </xdr:to>
    <xdr:pic>
      <xdr:nvPicPr>
        <xdr:cNvPr id="853554" name="Picture 11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372100" y="8972550"/>
          <a:ext cx="12573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200025</xdr:colOff>
      <xdr:row>27</xdr:row>
      <xdr:rowOff>123825</xdr:rowOff>
    </xdr:from>
    <xdr:to>
      <xdr:col>5</xdr:col>
      <xdr:colOff>1552575</xdr:colOff>
      <xdr:row>27</xdr:row>
      <xdr:rowOff>790575</xdr:rowOff>
    </xdr:to>
    <xdr:pic>
      <xdr:nvPicPr>
        <xdr:cNvPr id="853555" name="Picture 117"/>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314950" y="9705975"/>
          <a:ext cx="13525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104775</xdr:colOff>
      <xdr:row>5</xdr:row>
      <xdr:rowOff>9525</xdr:rowOff>
    </xdr:from>
    <xdr:to>
      <xdr:col>10</xdr:col>
      <xdr:colOff>1266825</xdr:colOff>
      <xdr:row>6</xdr:row>
      <xdr:rowOff>428625</xdr:rowOff>
    </xdr:to>
    <xdr:pic>
      <xdr:nvPicPr>
        <xdr:cNvPr id="853556" name="Picture 167"/>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830050" y="1076325"/>
          <a:ext cx="1162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142875</xdr:colOff>
      <xdr:row>7</xdr:row>
      <xdr:rowOff>66675</xdr:rowOff>
    </xdr:from>
    <xdr:to>
      <xdr:col>10</xdr:col>
      <xdr:colOff>1295400</xdr:colOff>
      <xdr:row>9</xdr:row>
      <xdr:rowOff>304800</xdr:rowOff>
    </xdr:to>
    <xdr:pic>
      <xdr:nvPicPr>
        <xdr:cNvPr id="853557" name="Picture 169"/>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868150" y="2009775"/>
          <a:ext cx="11525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152400</xdr:colOff>
      <xdr:row>10</xdr:row>
      <xdr:rowOff>47625</xdr:rowOff>
    </xdr:from>
    <xdr:to>
      <xdr:col>10</xdr:col>
      <xdr:colOff>1228725</xdr:colOff>
      <xdr:row>12</xdr:row>
      <xdr:rowOff>285750</xdr:rowOff>
    </xdr:to>
    <xdr:pic>
      <xdr:nvPicPr>
        <xdr:cNvPr id="853558" name="Picture 171"/>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877675" y="2933700"/>
          <a:ext cx="1076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xdr:colOff>
      <xdr:row>13</xdr:row>
      <xdr:rowOff>28575</xdr:rowOff>
    </xdr:from>
    <xdr:to>
      <xdr:col>10</xdr:col>
      <xdr:colOff>1419225</xdr:colOff>
      <xdr:row>14</xdr:row>
      <xdr:rowOff>390525</xdr:rowOff>
    </xdr:to>
    <xdr:pic>
      <xdr:nvPicPr>
        <xdr:cNvPr id="853559" name="Picture 173"/>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753850" y="3724275"/>
          <a:ext cx="13906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xdr:colOff>
      <xdr:row>15</xdr:row>
      <xdr:rowOff>28575</xdr:rowOff>
    </xdr:from>
    <xdr:to>
      <xdr:col>10</xdr:col>
      <xdr:colOff>1466850</xdr:colOff>
      <xdr:row>16</xdr:row>
      <xdr:rowOff>371475</xdr:rowOff>
    </xdr:to>
    <xdr:pic>
      <xdr:nvPicPr>
        <xdr:cNvPr id="853560" name="Picture 175"/>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753850" y="4295775"/>
          <a:ext cx="1438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104775</xdr:colOff>
      <xdr:row>17</xdr:row>
      <xdr:rowOff>9525</xdr:rowOff>
    </xdr:from>
    <xdr:to>
      <xdr:col>10</xdr:col>
      <xdr:colOff>1390650</xdr:colOff>
      <xdr:row>17</xdr:row>
      <xdr:rowOff>438150</xdr:rowOff>
    </xdr:to>
    <xdr:pic>
      <xdr:nvPicPr>
        <xdr:cNvPr id="853561" name="Picture 177"/>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830050" y="4867275"/>
          <a:ext cx="1285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180975</xdr:colOff>
      <xdr:row>18</xdr:row>
      <xdr:rowOff>38100</xdr:rowOff>
    </xdr:from>
    <xdr:to>
      <xdr:col>10</xdr:col>
      <xdr:colOff>1266825</xdr:colOff>
      <xdr:row>19</xdr:row>
      <xdr:rowOff>371475</xdr:rowOff>
    </xdr:to>
    <xdr:pic>
      <xdr:nvPicPr>
        <xdr:cNvPr id="853562" name="Picture 179"/>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906250" y="5353050"/>
          <a:ext cx="10858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180975</xdr:colOff>
      <xdr:row>20</xdr:row>
      <xdr:rowOff>47625</xdr:rowOff>
    </xdr:from>
    <xdr:to>
      <xdr:col>10</xdr:col>
      <xdr:colOff>1152525</xdr:colOff>
      <xdr:row>21</xdr:row>
      <xdr:rowOff>609600</xdr:rowOff>
    </xdr:to>
    <xdr:pic>
      <xdr:nvPicPr>
        <xdr:cNvPr id="853563" name="Picture 181"/>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1906250" y="6200775"/>
          <a:ext cx="9715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xdr:colOff>
      <xdr:row>22</xdr:row>
      <xdr:rowOff>85725</xdr:rowOff>
    </xdr:from>
    <xdr:to>
      <xdr:col>10</xdr:col>
      <xdr:colOff>1457325</xdr:colOff>
      <xdr:row>23</xdr:row>
      <xdr:rowOff>28575</xdr:rowOff>
    </xdr:to>
    <xdr:pic>
      <xdr:nvPicPr>
        <xdr:cNvPr id="853564" name="Picture 183"/>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1753850" y="7019925"/>
          <a:ext cx="14287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114300</xdr:colOff>
      <xdr:row>24</xdr:row>
      <xdr:rowOff>28575</xdr:rowOff>
    </xdr:from>
    <xdr:to>
      <xdr:col>10</xdr:col>
      <xdr:colOff>990600</xdr:colOff>
      <xdr:row>24</xdr:row>
      <xdr:rowOff>619125</xdr:rowOff>
    </xdr:to>
    <xdr:pic>
      <xdr:nvPicPr>
        <xdr:cNvPr id="853565" name="Picture 185"/>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839575" y="7696200"/>
          <a:ext cx="876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25</xdr:row>
      <xdr:rowOff>38100</xdr:rowOff>
    </xdr:from>
    <xdr:to>
      <xdr:col>10</xdr:col>
      <xdr:colOff>952500</xdr:colOff>
      <xdr:row>25</xdr:row>
      <xdr:rowOff>609600</xdr:rowOff>
    </xdr:to>
    <xdr:pic>
      <xdr:nvPicPr>
        <xdr:cNvPr id="853566" name="Picture 187"/>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1849100" y="8353425"/>
          <a:ext cx="8286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152400</xdr:colOff>
      <xdr:row>26</xdr:row>
      <xdr:rowOff>9525</xdr:rowOff>
    </xdr:from>
    <xdr:to>
      <xdr:col>10</xdr:col>
      <xdr:colOff>1038225</xdr:colOff>
      <xdr:row>26</xdr:row>
      <xdr:rowOff>600075</xdr:rowOff>
    </xdr:to>
    <xdr:pic>
      <xdr:nvPicPr>
        <xdr:cNvPr id="853567" name="Picture 226"/>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1877675" y="8972550"/>
          <a:ext cx="8858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142875</xdr:colOff>
      <xdr:row>27</xdr:row>
      <xdr:rowOff>114300</xdr:rowOff>
    </xdr:from>
    <xdr:to>
      <xdr:col>10</xdr:col>
      <xdr:colOff>1085850</xdr:colOff>
      <xdr:row>27</xdr:row>
      <xdr:rowOff>895350</xdr:rowOff>
    </xdr:to>
    <xdr:pic>
      <xdr:nvPicPr>
        <xdr:cNvPr id="853568" name="Picture 228"/>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1868150" y="9696450"/>
          <a:ext cx="9429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1066800</xdr:colOff>
      <xdr:row>36</xdr:row>
      <xdr:rowOff>57150</xdr:rowOff>
    </xdr:from>
    <xdr:to>
      <xdr:col>16</xdr:col>
      <xdr:colOff>323850</xdr:colOff>
      <xdr:row>41</xdr:row>
      <xdr:rowOff>161925</xdr:rowOff>
    </xdr:to>
    <xdr:pic>
      <xdr:nvPicPr>
        <xdr:cNvPr id="858221" name="Picture 2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6450" y="9372600"/>
          <a:ext cx="30765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85725</xdr:colOff>
      <xdr:row>20</xdr:row>
      <xdr:rowOff>9525</xdr:rowOff>
    </xdr:from>
    <xdr:to>
      <xdr:col>17</xdr:col>
      <xdr:colOff>180975</xdr:colOff>
      <xdr:row>33</xdr:row>
      <xdr:rowOff>85725</xdr:rowOff>
    </xdr:to>
    <xdr:pic>
      <xdr:nvPicPr>
        <xdr:cNvPr id="858222" name="Picture 118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29700" y="6915150"/>
          <a:ext cx="4191000"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371475</xdr:colOff>
      <xdr:row>8</xdr:row>
      <xdr:rowOff>333375</xdr:rowOff>
    </xdr:from>
    <xdr:to>
      <xdr:col>0</xdr:col>
      <xdr:colOff>1076325</xdr:colOff>
      <xdr:row>8</xdr:row>
      <xdr:rowOff>819150</xdr:rowOff>
    </xdr:to>
    <xdr:pic>
      <xdr:nvPicPr>
        <xdr:cNvPr id="858223"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1475" y="1790700"/>
          <a:ext cx="7048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9</xdr:row>
      <xdr:rowOff>161925</xdr:rowOff>
    </xdr:from>
    <xdr:to>
      <xdr:col>0</xdr:col>
      <xdr:colOff>1152525</xdr:colOff>
      <xdr:row>9</xdr:row>
      <xdr:rowOff>657225</xdr:rowOff>
    </xdr:to>
    <xdr:pic>
      <xdr:nvPicPr>
        <xdr:cNvPr id="858224" name="Picture 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275" y="2447925"/>
          <a:ext cx="857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11</xdr:row>
      <xdr:rowOff>161925</xdr:rowOff>
    </xdr:from>
    <xdr:to>
      <xdr:col>0</xdr:col>
      <xdr:colOff>1000125</xdr:colOff>
      <xdr:row>11</xdr:row>
      <xdr:rowOff>723900</xdr:rowOff>
    </xdr:to>
    <xdr:pic>
      <xdr:nvPicPr>
        <xdr:cNvPr id="858225" name="Picture 1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8625" y="37814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14</xdr:row>
      <xdr:rowOff>152400</xdr:rowOff>
    </xdr:from>
    <xdr:to>
      <xdr:col>0</xdr:col>
      <xdr:colOff>695325</xdr:colOff>
      <xdr:row>14</xdr:row>
      <xdr:rowOff>676275</xdr:rowOff>
    </xdr:to>
    <xdr:pic>
      <xdr:nvPicPr>
        <xdr:cNvPr id="858226" name="Picture 2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162550"/>
          <a:ext cx="6381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14</xdr:row>
      <xdr:rowOff>238125</xdr:rowOff>
    </xdr:from>
    <xdr:to>
      <xdr:col>0</xdr:col>
      <xdr:colOff>1514475</xdr:colOff>
      <xdr:row>14</xdr:row>
      <xdr:rowOff>561975</xdr:rowOff>
    </xdr:to>
    <xdr:pic>
      <xdr:nvPicPr>
        <xdr:cNvPr id="858227" name="Picture 24"/>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4375" y="5248275"/>
          <a:ext cx="8001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409575</xdr:colOff>
      <xdr:row>15</xdr:row>
      <xdr:rowOff>152400</xdr:rowOff>
    </xdr:from>
    <xdr:to>
      <xdr:col>0</xdr:col>
      <xdr:colOff>1095375</xdr:colOff>
      <xdr:row>15</xdr:row>
      <xdr:rowOff>628650</xdr:rowOff>
    </xdr:to>
    <xdr:pic>
      <xdr:nvPicPr>
        <xdr:cNvPr id="858228" name="Picture 2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09575" y="5857875"/>
          <a:ext cx="6858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400050</xdr:colOff>
      <xdr:row>10</xdr:row>
      <xdr:rowOff>152400</xdr:rowOff>
    </xdr:from>
    <xdr:to>
      <xdr:col>0</xdr:col>
      <xdr:colOff>1057275</xdr:colOff>
      <xdr:row>10</xdr:row>
      <xdr:rowOff>628650</xdr:rowOff>
    </xdr:to>
    <xdr:pic>
      <xdr:nvPicPr>
        <xdr:cNvPr id="858229" name="Picture 100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0050" y="3114675"/>
          <a:ext cx="6572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314325</xdr:colOff>
      <xdr:row>13</xdr:row>
      <xdr:rowOff>180975</xdr:rowOff>
    </xdr:from>
    <xdr:to>
      <xdr:col>0</xdr:col>
      <xdr:colOff>1171575</xdr:colOff>
      <xdr:row>13</xdr:row>
      <xdr:rowOff>609600</xdr:rowOff>
    </xdr:to>
    <xdr:pic>
      <xdr:nvPicPr>
        <xdr:cNvPr id="858230" name="Picture 394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4325" y="4533900"/>
          <a:ext cx="857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16</xdr:col>
      <xdr:colOff>762000</xdr:colOff>
      <xdr:row>48</xdr:row>
      <xdr:rowOff>38100</xdr:rowOff>
    </xdr:from>
    <xdr:to>
      <xdr:col>16</xdr:col>
      <xdr:colOff>609600</xdr:colOff>
      <xdr:row>49</xdr:row>
      <xdr:rowOff>85725</xdr:rowOff>
    </xdr:to>
    <xdr:pic>
      <xdr:nvPicPr>
        <xdr:cNvPr id="454238" name="Рисунок 8" descr="ГО.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73400" y="10563225"/>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180975</xdr:colOff>
      <xdr:row>0</xdr:row>
      <xdr:rowOff>0</xdr:rowOff>
    </xdr:from>
    <xdr:to>
      <xdr:col>6</xdr:col>
      <xdr:colOff>685800</xdr:colOff>
      <xdr:row>1</xdr:row>
      <xdr:rowOff>0</xdr:rowOff>
    </xdr:to>
    <xdr:pic>
      <xdr:nvPicPr>
        <xdr:cNvPr id="834606" name="Рисунок 3" descr="0db6de360188de2c16752200f147ebd5.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52850" y="0"/>
          <a:ext cx="3752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5</xdr:row>
      <xdr:rowOff>142875</xdr:rowOff>
    </xdr:from>
    <xdr:to>
      <xdr:col>1</xdr:col>
      <xdr:colOff>752475</xdr:colOff>
      <xdr:row>9</xdr:row>
      <xdr:rowOff>95250</xdr:rowOff>
    </xdr:to>
    <xdr:pic>
      <xdr:nvPicPr>
        <xdr:cNvPr id="859279" name="Picture 5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1209675"/>
          <a:ext cx="6667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857250</xdr:colOff>
      <xdr:row>5</xdr:row>
      <xdr:rowOff>142875</xdr:rowOff>
    </xdr:from>
    <xdr:to>
      <xdr:col>1</xdr:col>
      <xdr:colOff>1524000</xdr:colOff>
      <xdr:row>9</xdr:row>
      <xdr:rowOff>114300</xdr:rowOff>
    </xdr:to>
    <xdr:pic>
      <xdr:nvPicPr>
        <xdr:cNvPr id="859280" name="Picture 5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120967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419100</xdr:colOff>
      <xdr:row>12</xdr:row>
      <xdr:rowOff>9525</xdr:rowOff>
    </xdr:from>
    <xdr:to>
      <xdr:col>1</xdr:col>
      <xdr:colOff>1085850</xdr:colOff>
      <xdr:row>15</xdr:row>
      <xdr:rowOff>171450</xdr:rowOff>
    </xdr:to>
    <xdr:pic>
      <xdr:nvPicPr>
        <xdr:cNvPr id="859281" name="Picture 7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0300" y="2343150"/>
          <a:ext cx="666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409575</xdr:colOff>
      <xdr:row>17</xdr:row>
      <xdr:rowOff>66675</xdr:rowOff>
    </xdr:from>
    <xdr:to>
      <xdr:col>1</xdr:col>
      <xdr:colOff>1057275</xdr:colOff>
      <xdr:row>19</xdr:row>
      <xdr:rowOff>133350</xdr:rowOff>
    </xdr:to>
    <xdr:pic>
      <xdr:nvPicPr>
        <xdr:cNvPr id="859282" name="Picture 7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90775" y="3305175"/>
          <a:ext cx="6477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466725</xdr:colOff>
      <xdr:row>23</xdr:row>
      <xdr:rowOff>66675</xdr:rowOff>
    </xdr:from>
    <xdr:to>
      <xdr:col>1</xdr:col>
      <xdr:colOff>1066800</xdr:colOff>
      <xdr:row>25</xdr:row>
      <xdr:rowOff>161925</xdr:rowOff>
    </xdr:to>
    <xdr:pic>
      <xdr:nvPicPr>
        <xdr:cNvPr id="859283" name="Picture 7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47925" y="4733925"/>
          <a:ext cx="6000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476250</xdr:colOff>
      <xdr:row>20</xdr:row>
      <xdr:rowOff>104775</xdr:rowOff>
    </xdr:from>
    <xdr:to>
      <xdr:col>1</xdr:col>
      <xdr:colOff>1047750</xdr:colOff>
      <xdr:row>22</xdr:row>
      <xdr:rowOff>114300</xdr:rowOff>
    </xdr:to>
    <xdr:pic>
      <xdr:nvPicPr>
        <xdr:cNvPr id="859284" name="Picture 8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57450" y="4057650"/>
          <a:ext cx="5715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8</xdr:col>
      <xdr:colOff>123825</xdr:colOff>
      <xdr:row>20</xdr:row>
      <xdr:rowOff>104775</xdr:rowOff>
    </xdr:from>
    <xdr:to>
      <xdr:col>8</xdr:col>
      <xdr:colOff>942975</xdr:colOff>
      <xdr:row>24</xdr:row>
      <xdr:rowOff>228600</xdr:rowOff>
    </xdr:to>
    <xdr:pic>
      <xdr:nvPicPr>
        <xdr:cNvPr id="859285" name="Picture 9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43925" y="4057650"/>
          <a:ext cx="8191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8</xdr:col>
      <xdr:colOff>38100</xdr:colOff>
      <xdr:row>7</xdr:row>
      <xdr:rowOff>57150</xdr:rowOff>
    </xdr:from>
    <xdr:to>
      <xdr:col>8</xdr:col>
      <xdr:colOff>1095375</xdr:colOff>
      <xdr:row>16</xdr:row>
      <xdr:rowOff>133350</xdr:rowOff>
    </xdr:to>
    <xdr:pic>
      <xdr:nvPicPr>
        <xdr:cNvPr id="859286" name="Picture 9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58200" y="1485900"/>
          <a:ext cx="105727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542925</xdr:colOff>
      <xdr:row>34</xdr:row>
      <xdr:rowOff>47625</xdr:rowOff>
    </xdr:from>
    <xdr:to>
      <xdr:col>1</xdr:col>
      <xdr:colOff>933450</xdr:colOff>
      <xdr:row>36</xdr:row>
      <xdr:rowOff>161925</xdr:rowOff>
    </xdr:to>
    <xdr:pic>
      <xdr:nvPicPr>
        <xdr:cNvPr id="859287" name="Picture 18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524125" y="7105650"/>
          <a:ext cx="3905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533400</xdr:colOff>
      <xdr:row>31</xdr:row>
      <xdr:rowOff>57150</xdr:rowOff>
    </xdr:from>
    <xdr:to>
      <xdr:col>1</xdr:col>
      <xdr:colOff>942975</xdr:colOff>
      <xdr:row>33</xdr:row>
      <xdr:rowOff>142875</xdr:rowOff>
    </xdr:to>
    <xdr:pic>
      <xdr:nvPicPr>
        <xdr:cNvPr id="859288" name="Picture 21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514600" y="6486525"/>
          <a:ext cx="4095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523875</xdr:colOff>
      <xdr:row>28</xdr:row>
      <xdr:rowOff>57150</xdr:rowOff>
    </xdr:from>
    <xdr:to>
      <xdr:col>1</xdr:col>
      <xdr:colOff>933450</xdr:colOff>
      <xdr:row>30</xdr:row>
      <xdr:rowOff>152400</xdr:rowOff>
    </xdr:to>
    <xdr:pic>
      <xdr:nvPicPr>
        <xdr:cNvPr id="859289" name="Picture 21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505075" y="5857875"/>
          <a:ext cx="4095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609600</xdr:colOff>
      <xdr:row>40</xdr:row>
      <xdr:rowOff>114300</xdr:rowOff>
    </xdr:from>
    <xdr:to>
      <xdr:col>1</xdr:col>
      <xdr:colOff>942975</xdr:colOff>
      <xdr:row>42</xdr:row>
      <xdr:rowOff>180975</xdr:rowOff>
    </xdr:to>
    <xdr:pic>
      <xdr:nvPicPr>
        <xdr:cNvPr id="859290" name="Picture 305"/>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590800" y="8429625"/>
          <a:ext cx="3333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581025</xdr:colOff>
      <xdr:row>37</xdr:row>
      <xdr:rowOff>38100</xdr:rowOff>
    </xdr:from>
    <xdr:to>
      <xdr:col>1</xdr:col>
      <xdr:colOff>952500</xdr:colOff>
      <xdr:row>39</xdr:row>
      <xdr:rowOff>161925</xdr:rowOff>
    </xdr:to>
    <xdr:pic>
      <xdr:nvPicPr>
        <xdr:cNvPr id="859291" name="Picture 60"/>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62225" y="7724775"/>
          <a:ext cx="371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9</xdr:col>
      <xdr:colOff>447675</xdr:colOff>
      <xdr:row>47</xdr:row>
      <xdr:rowOff>47625</xdr:rowOff>
    </xdr:from>
    <xdr:to>
      <xdr:col>9</xdr:col>
      <xdr:colOff>990600</xdr:colOff>
      <xdr:row>47</xdr:row>
      <xdr:rowOff>514350</xdr:rowOff>
    </xdr:to>
    <xdr:pic>
      <xdr:nvPicPr>
        <xdr:cNvPr id="859292" name="Picture 22"/>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001250" y="9829800"/>
          <a:ext cx="542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285750</xdr:colOff>
      <xdr:row>8</xdr:row>
      <xdr:rowOff>38100</xdr:rowOff>
    </xdr:from>
    <xdr:to>
      <xdr:col>3</xdr:col>
      <xdr:colOff>609600</xdr:colOff>
      <xdr:row>8</xdr:row>
      <xdr:rowOff>628650</xdr:rowOff>
    </xdr:to>
    <xdr:pic>
      <xdr:nvPicPr>
        <xdr:cNvPr id="869395" name="Рисунок 15" descr="Екатерининский камень. Янтарь_2.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6525" y="2295525"/>
          <a:ext cx="24765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5</xdr:row>
      <xdr:rowOff>28575</xdr:rowOff>
    </xdr:from>
    <xdr:to>
      <xdr:col>3</xdr:col>
      <xdr:colOff>628650</xdr:colOff>
      <xdr:row>6</xdr:row>
      <xdr:rowOff>390525</xdr:rowOff>
    </xdr:to>
    <xdr:pic>
      <xdr:nvPicPr>
        <xdr:cNvPr id="869396" name="Рисунок 16" descr="Крымский сланец_янтарь.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0" y="1114425"/>
          <a:ext cx="2505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9</xdr:row>
      <xdr:rowOff>28575</xdr:rowOff>
    </xdr:from>
    <xdr:to>
      <xdr:col>3</xdr:col>
      <xdr:colOff>628650</xdr:colOff>
      <xdr:row>9</xdr:row>
      <xdr:rowOff>609600</xdr:rowOff>
    </xdr:to>
    <xdr:pic>
      <xdr:nvPicPr>
        <xdr:cNvPr id="869397" name="Picture 2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7950" y="2943225"/>
          <a:ext cx="25241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28</xdr:row>
      <xdr:rowOff>38100</xdr:rowOff>
    </xdr:from>
    <xdr:to>
      <xdr:col>2</xdr:col>
      <xdr:colOff>809625</xdr:colOff>
      <xdr:row>29</xdr:row>
      <xdr:rowOff>352425</xdr:rowOff>
    </xdr:to>
    <xdr:pic>
      <xdr:nvPicPr>
        <xdr:cNvPr id="869398" name="Рисунок 8" descr="ФП Grand Line Клинкерный кирпич стандарт Молочная.pn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95550" y="6915150"/>
          <a:ext cx="1847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30</xdr:row>
      <xdr:rowOff>19050</xdr:rowOff>
    </xdr:from>
    <xdr:to>
      <xdr:col>2</xdr:col>
      <xdr:colOff>866775</xdr:colOff>
      <xdr:row>31</xdr:row>
      <xdr:rowOff>381000</xdr:rowOff>
    </xdr:to>
    <xdr:pic>
      <xdr:nvPicPr>
        <xdr:cNvPr id="869399" name="Рисунок 9" descr="ФП Grand Line Состаренный кирпич стандарт Молочная.pn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57450" y="7677150"/>
          <a:ext cx="1943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7</xdr:row>
      <xdr:rowOff>28575</xdr:rowOff>
    </xdr:from>
    <xdr:to>
      <xdr:col>3</xdr:col>
      <xdr:colOff>600075</xdr:colOff>
      <xdr:row>7</xdr:row>
      <xdr:rowOff>561975</xdr:rowOff>
    </xdr:to>
    <xdr:pic>
      <xdr:nvPicPr>
        <xdr:cNvPr id="869400" name="Рисунок 6" descr="Скала. Жемчуг.pn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86050" y="1704975"/>
          <a:ext cx="24574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1504950</xdr:colOff>
      <xdr:row>18</xdr:row>
      <xdr:rowOff>66675</xdr:rowOff>
    </xdr:from>
    <xdr:to>
      <xdr:col>7</xdr:col>
      <xdr:colOff>2790825</xdr:colOff>
      <xdr:row>20</xdr:row>
      <xdr:rowOff>85725</xdr:rowOff>
    </xdr:to>
    <xdr:pic>
      <xdr:nvPicPr>
        <xdr:cNvPr id="863368" name="Picture 312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4375" y="6438900"/>
          <a:ext cx="12858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1371600</xdr:colOff>
      <xdr:row>18</xdr:row>
      <xdr:rowOff>28575</xdr:rowOff>
    </xdr:from>
    <xdr:to>
      <xdr:col>0</xdr:col>
      <xdr:colOff>2495550</xdr:colOff>
      <xdr:row>20</xdr:row>
      <xdr:rowOff>133350</xdr:rowOff>
    </xdr:to>
    <xdr:pic>
      <xdr:nvPicPr>
        <xdr:cNvPr id="863369" name="Picture 450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6400800"/>
          <a:ext cx="11239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1371600</xdr:colOff>
      <xdr:row>21</xdr:row>
      <xdr:rowOff>28575</xdr:rowOff>
    </xdr:from>
    <xdr:to>
      <xdr:col>0</xdr:col>
      <xdr:colOff>2533650</xdr:colOff>
      <xdr:row>23</xdr:row>
      <xdr:rowOff>161925</xdr:rowOff>
    </xdr:to>
    <xdr:pic>
      <xdr:nvPicPr>
        <xdr:cNvPr id="863370" name="Picture 450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6915150"/>
          <a:ext cx="11620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1504950</xdr:colOff>
      <xdr:row>21</xdr:row>
      <xdr:rowOff>76200</xdr:rowOff>
    </xdr:from>
    <xdr:to>
      <xdr:col>7</xdr:col>
      <xdr:colOff>2743200</xdr:colOff>
      <xdr:row>23</xdr:row>
      <xdr:rowOff>104775</xdr:rowOff>
    </xdr:to>
    <xdr:pic>
      <xdr:nvPicPr>
        <xdr:cNvPr id="863371" name="Picture 450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44375" y="6962775"/>
          <a:ext cx="12382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1533525</xdr:colOff>
      <xdr:row>24</xdr:row>
      <xdr:rowOff>85725</xdr:rowOff>
    </xdr:from>
    <xdr:to>
      <xdr:col>7</xdr:col>
      <xdr:colOff>2695575</xdr:colOff>
      <xdr:row>25</xdr:row>
      <xdr:rowOff>295275</xdr:rowOff>
    </xdr:to>
    <xdr:pic>
      <xdr:nvPicPr>
        <xdr:cNvPr id="863372" name="Picture 4502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t="7144" b="9512"/>
        <a:stretch>
          <a:fillRect/>
        </a:stretch>
      </xdr:blipFill>
      <xdr:spPr bwMode="auto">
        <a:xfrm>
          <a:off x="12172950" y="7486650"/>
          <a:ext cx="11620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1562100</xdr:colOff>
      <xdr:row>26</xdr:row>
      <xdr:rowOff>47625</xdr:rowOff>
    </xdr:from>
    <xdr:to>
      <xdr:col>7</xdr:col>
      <xdr:colOff>2733675</xdr:colOff>
      <xdr:row>28</xdr:row>
      <xdr:rowOff>104775</xdr:rowOff>
    </xdr:to>
    <xdr:pic>
      <xdr:nvPicPr>
        <xdr:cNvPr id="863373" name="Picture 4502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01525" y="7991475"/>
          <a:ext cx="11715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342900</xdr:colOff>
      <xdr:row>31</xdr:row>
      <xdr:rowOff>38100</xdr:rowOff>
    </xdr:from>
    <xdr:to>
      <xdr:col>12</xdr:col>
      <xdr:colOff>723900</xdr:colOff>
      <xdr:row>31</xdr:row>
      <xdr:rowOff>876300</xdr:rowOff>
    </xdr:to>
    <xdr:pic>
      <xdr:nvPicPr>
        <xdr:cNvPr id="863374" name="Picture 2412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982325" y="8905875"/>
          <a:ext cx="76104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31</xdr:row>
      <xdr:rowOff>38100</xdr:rowOff>
    </xdr:from>
    <xdr:to>
      <xdr:col>5</xdr:col>
      <xdr:colOff>266700</xdr:colOff>
      <xdr:row>31</xdr:row>
      <xdr:rowOff>990600</xdr:rowOff>
    </xdr:to>
    <xdr:pic>
      <xdr:nvPicPr>
        <xdr:cNvPr id="863375" name="Picture 2416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6675" y="8905875"/>
          <a:ext cx="86868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35</xdr:row>
      <xdr:rowOff>38100</xdr:rowOff>
    </xdr:from>
    <xdr:to>
      <xdr:col>13</xdr:col>
      <xdr:colOff>104775</xdr:colOff>
      <xdr:row>36</xdr:row>
      <xdr:rowOff>304800</xdr:rowOff>
    </xdr:to>
    <xdr:pic>
      <xdr:nvPicPr>
        <xdr:cNvPr id="863376" name="Picture 39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687050" y="10477500"/>
          <a:ext cx="80676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1524000</xdr:colOff>
      <xdr:row>6</xdr:row>
      <xdr:rowOff>28575</xdr:rowOff>
    </xdr:from>
    <xdr:to>
      <xdr:col>0</xdr:col>
      <xdr:colOff>2743200</xdr:colOff>
      <xdr:row>6</xdr:row>
      <xdr:rowOff>533400</xdr:rowOff>
    </xdr:to>
    <xdr:pic>
      <xdr:nvPicPr>
        <xdr:cNvPr id="863377" name="Рисунок 14" descr="Крымский.jpg"/>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24000" y="1466850"/>
          <a:ext cx="1219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1524000</xdr:colOff>
      <xdr:row>7</xdr:row>
      <xdr:rowOff>9525</xdr:rowOff>
    </xdr:from>
    <xdr:to>
      <xdr:col>0</xdr:col>
      <xdr:colOff>2752725</xdr:colOff>
      <xdr:row>7</xdr:row>
      <xdr:rowOff>514350</xdr:rowOff>
    </xdr:to>
    <xdr:pic>
      <xdr:nvPicPr>
        <xdr:cNvPr id="863378" name="Рисунок 15" descr="Белый.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24000" y="2000250"/>
          <a:ext cx="12287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1514475</xdr:colOff>
      <xdr:row>9</xdr:row>
      <xdr:rowOff>28575</xdr:rowOff>
    </xdr:from>
    <xdr:to>
      <xdr:col>0</xdr:col>
      <xdr:colOff>2771775</xdr:colOff>
      <xdr:row>9</xdr:row>
      <xdr:rowOff>514350</xdr:rowOff>
    </xdr:to>
    <xdr:pic>
      <xdr:nvPicPr>
        <xdr:cNvPr id="863379" name="Рисунок 16" descr="Алтай.jp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14475" y="3076575"/>
          <a:ext cx="12573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1533525</xdr:colOff>
      <xdr:row>10</xdr:row>
      <xdr:rowOff>28575</xdr:rowOff>
    </xdr:from>
    <xdr:to>
      <xdr:col>0</xdr:col>
      <xdr:colOff>2771775</xdr:colOff>
      <xdr:row>10</xdr:row>
      <xdr:rowOff>514350</xdr:rowOff>
    </xdr:to>
    <xdr:pic>
      <xdr:nvPicPr>
        <xdr:cNvPr id="863380" name="Рисунок 17" descr="Белый.jp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33525" y="3600450"/>
          <a:ext cx="12382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1971675</xdr:colOff>
      <xdr:row>12</xdr:row>
      <xdr:rowOff>57150</xdr:rowOff>
    </xdr:from>
    <xdr:to>
      <xdr:col>8</xdr:col>
      <xdr:colOff>981075</xdr:colOff>
      <xdr:row>12</xdr:row>
      <xdr:rowOff>952500</xdr:rowOff>
    </xdr:to>
    <xdr:pic>
      <xdr:nvPicPr>
        <xdr:cNvPr id="863381" name="Picture 2"/>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971675" y="4381500"/>
          <a:ext cx="12515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1524000</xdr:colOff>
      <xdr:row>8</xdr:row>
      <xdr:rowOff>28575</xdr:rowOff>
    </xdr:from>
    <xdr:to>
      <xdr:col>0</xdr:col>
      <xdr:colOff>2752725</xdr:colOff>
      <xdr:row>8</xdr:row>
      <xdr:rowOff>523875</xdr:rowOff>
    </xdr:to>
    <xdr:pic>
      <xdr:nvPicPr>
        <xdr:cNvPr id="863382" name="Рисунок 15" descr="Сланец.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t="2632" r="1430"/>
        <a:stretch>
          <a:fillRect/>
        </a:stretch>
      </xdr:blipFill>
      <xdr:spPr bwMode="auto">
        <a:xfrm>
          <a:off x="1524000" y="2543175"/>
          <a:ext cx="1228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6</xdr:row>
      <xdr:rowOff>352425</xdr:rowOff>
    </xdr:from>
    <xdr:to>
      <xdr:col>0</xdr:col>
      <xdr:colOff>1314450</xdr:colOff>
      <xdr:row>7</xdr:row>
      <xdr:rowOff>161925</xdr:rowOff>
    </xdr:to>
    <xdr:pic>
      <xdr:nvPicPr>
        <xdr:cNvPr id="820537"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400175"/>
          <a:ext cx="12763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xdr:colOff>
      <xdr:row>6</xdr:row>
      <xdr:rowOff>381000</xdr:rowOff>
    </xdr:from>
    <xdr:to>
      <xdr:col>8</xdr:col>
      <xdr:colOff>1314450</xdr:colOff>
      <xdr:row>7</xdr:row>
      <xdr:rowOff>114300</xdr:rowOff>
    </xdr:to>
    <xdr:pic>
      <xdr:nvPicPr>
        <xdr:cNvPr id="820538"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828"/>
        <a:stretch>
          <a:fillRect/>
        </a:stretch>
      </xdr:blipFill>
      <xdr:spPr bwMode="auto">
        <a:xfrm>
          <a:off x="10334625" y="1428750"/>
          <a:ext cx="12858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49</xdr:row>
      <xdr:rowOff>0</xdr:rowOff>
    </xdr:from>
    <xdr:to>
      <xdr:col>3</xdr:col>
      <xdr:colOff>0</xdr:colOff>
      <xdr:row>50</xdr:row>
      <xdr:rowOff>38100</xdr:rowOff>
    </xdr:to>
    <xdr:pic>
      <xdr:nvPicPr>
        <xdr:cNvPr id="820539" name="Рисунок 4" descr="ГО.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800" y="130968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34</xdr:row>
      <xdr:rowOff>66675</xdr:rowOff>
    </xdr:from>
    <xdr:to>
      <xdr:col>0</xdr:col>
      <xdr:colOff>1266825</xdr:colOff>
      <xdr:row>35</xdr:row>
      <xdr:rowOff>523875</xdr:rowOff>
    </xdr:to>
    <xdr:pic>
      <xdr:nvPicPr>
        <xdr:cNvPr id="820540" name="Picture 3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4906" r="8762"/>
        <a:stretch>
          <a:fillRect/>
        </a:stretch>
      </xdr:blipFill>
      <xdr:spPr bwMode="auto">
        <a:xfrm>
          <a:off x="38100" y="9401175"/>
          <a:ext cx="12287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85725</xdr:colOff>
      <xdr:row>34</xdr:row>
      <xdr:rowOff>38100</xdr:rowOff>
    </xdr:from>
    <xdr:to>
      <xdr:col>8</xdr:col>
      <xdr:colOff>1295400</xdr:colOff>
      <xdr:row>35</xdr:row>
      <xdr:rowOff>504825</xdr:rowOff>
    </xdr:to>
    <xdr:pic>
      <xdr:nvPicPr>
        <xdr:cNvPr id="820541" name="Picture 3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r="64069"/>
        <a:stretch>
          <a:fillRect/>
        </a:stretch>
      </xdr:blipFill>
      <xdr:spPr bwMode="auto">
        <a:xfrm>
          <a:off x="10391775" y="9372600"/>
          <a:ext cx="1209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19050</xdr:colOff>
      <xdr:row>7</xdr:row>
      <xdr:rowOff>38100</xdr:rowOff>
    </xdr:from>
    <xdr:to>
      <xdr:col>0</xdr:col>
      <xdr:colOff>800100</xdr:colOff>
      <xdr:row>10</xdr:row>
      <xdr:rowOff>123825</xdr:rowOff>
    </xdr:to>
    <xdr:pic>
      <xdr:nvPicPr>
        <xdr:cNvPr id="796659" name="Picture 292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400175"/>
          <a:ext cx="7810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12</xdr:row>
      <xdr:rowOff>57150</xdr:rowOff>
    </xdr:from>
    <xdr:to>
      <xdr:col>0</xdr:col>
      <xdr:colOff>790575</xdr:colOff>
      <xdr:row>16</xdr:row>
      <xdr:rowOff>19050</xdr:rowOff>
    </xdr:to>
    <xdr:pic>
      <xdr:nvPicPr>
        <xdr:cNvPr id="796660" name="Picture 292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238375"/>
          <a:ext cx="7810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18</xdr:row>
      <xdr:rowOff>66675</xdr:rowOff>
    </xdr:from>
    <xdr:to>
      <xdr:col>0</xdr:col>
      <xdr:colOff>809625</xdr:colOff>
      <xdr:row>22</xdr:row>
      <xdr:rowOff>133350</xdr:rowOff>
    </xdr:to>
    <xdr:pic>
      <xdr:nvPicPr>
        <xdr:cNvPr id="796661" name="Picture 294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3238500"/>
          <a:ext cx="7905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24</xdr:row>
      <xdr:rowOff>47625</xdr:rowOff>
    </xdr:from>
    <xdr:to>
      <xdr:col>0</xdr:col>
      <xdr:colOff>809625</xdr:colOff>
      <xdr:row>28</xdr:row>
      <xdr:rowOff>152400</xdr:rowOff>
    </xdr:to>
    <xdr:pic>
      <xdr:nvPicPr>
        <xdr:cNvPr id="796662" name="Picture 294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575" y="4210050"/>
          <a:ext cx="781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30</xdr:row>
      <xdr:rowOff>114300</xdr:rowOff>
    </xdr:from>
    <xdr:to>
      <xdr:col>0</xdr:col>
      <xdr:colOff>790575</xdr:colOff>
      <xdr:row>34</xdr:row>
      <xdr:rowOff>104775</xdr:rowOff>
    </xdr:to>
    <xdr:pic>
      <xdr:nvPicPr>
        <xdr:cNvPr id="796663" name="Picture 295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 y="5267325"/>
          <a:ext cx="7810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6</xdr:row>
      <xdr:rowOff>152400</xdr:rowOff>
    </xdr:from>
    <xdr:to>
      <xdr:col>12</xdr:col>
      <xdr:colOff>819150</xdr:colOff>
      <xdr:row>10</xdr:row>
      <xdr:rowOff>104775</xdr:rowOff>
    </xdr:to>
    <xdr:pic>
      <xdr:nvPicPr>
        <xdr:cNvPr id="796664" name="Picture 295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48700" y="1352550"/>
          <a:ext cx="7810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12</xdr:row>
      <xdr:rowOff>114300</xdr:rowOff>
    </xdr:from>
    <xdr:to>
      <xdr:col>12</xdr:col>
      <xdr:colOff>819150</xdr:colOff>
      <xdr:row>16</xdr:row>
      <xdr:rowOff>133350</xdr:rowOff>
    </xdr:to>
    <xdr:pic>
      <xdr:nvPicPr>
        <xdr:cNvPr id="796665" name="Picture 2954"/>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48700" y="2295525"/>
          <a:ext cx="7810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28575</xdr:colOff>
      <xdr:row>25</xdr:row>
      <xdr:rowOff>9525</xdr:rowOff>
    </xdr:from>
    <xdr:to>
      <xdr:col>12</xdr:col>
      <xdr:colOff>800100</xdr:colOff>
      <xdr:row>28</xdr:row>
      <xdr:rowOff>66675</xdr:rowOff>
    </xdr:to>
    <xdr:pic>
      <xdr:nvPicPr>
        <xdr:cNvPr id="796666" name="Picture 295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39175" y="4343400"/>
          <a:ext cx="7715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47625</xdr:colOff>
      <xdr:row>31</xdr:row>
      <xdr:rowOff>28575</xdr:rowOff>
    </xdr:from>
    <xdr:to>
      <xdr:col>12</xdr:col>
      <xdr:colOff>790575</xdr:colOff>
      <xdr:row>34</xdr:row>
      <xdr:rowOff>57150</xdr:rowOff>
    </xdr:to>
    <xdr:pic>
      <xdr:nvPicPr>
        <xdr:cNvPr id="796667" name="Picture 296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658225" y="5353050"/>
          <a:ext cx="7429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18</xdr:row>
      <xdr:rowOff>133350</xdr:rowOff>
    </xdr:from>
    <xdr:to>
      <xdr:col>12</xdr:col>
      <xdr:colOff>819150</xdr:colOff>
      <xdr:row>22</xdr:row>
      <xdr:rowOff>142875</xdr:rowOff>
    </xdr:to>
    <xdr:pic>
      <xdr:nvPicPr>
        <xdr:cNvPr id="796668" name="Picture 295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648700" y="3305175"/>
          <a:ext cx="7810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647700</xdr:colOff>
      <xdr:row>68</xdr:row>
      <xdr:rowOff>38100</xdr:rowOff>
    </xdr:from>
    <xdr:to>
      <xdr:col>1</xdr:col>
      <xdr:colOff>1009650</xdr:colOff>
      <xdr:row>69</xdr:row>
      <xdr:rowOff>152400</xdr:rowOff>
    </xdr:to>
    <xdr:pic>
      <xdr:nvPicPr>
        <xdr:cNvPr id="837577" name="Изображения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5075" y="12849225"/>
          <a:ext cx="3619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419100</xdr:colOff>
      <xdr:row>51</xdr:row>
      <xdr:rowOff>38100</xdr:rowOff>
    </xdr:from>
    <xdr:to>
      <xdr:col>1</xdr:col>
      <xdr:colOff>1276350</xdr:colOff>
      <xdr:row>53</xdr:row>
      <xdr:rowOff>171450</xdr:rowOff>
    </xdr:to>
    <xdr:pic>
      <xdr:nvPicPr>
        <xdr:cNvPr id="837578"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8639175"/>
          <a:ext cx="8572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54</xdr:row>
      <xdr:rowOff>28575</xdr:rowOff>
    </xdr:from>
    <xdr:to>
      <xdr:col>1</xdr:col>
      <xdr:colOff>1000125</xdr:colOff>
      <xdr:row>55</xdr:row>
      <xdr:rowOff>171450</xdr:rowOff>
    </xdr:to>
    <xdr:pic>
      <xdr:nvPicPr>
        <xdr:cNvPr id="837579"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62675" y="9286875"/>
          <a:ext cx="5048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57</xdr:row>
      <xdr:rowOff>38100</xdr:rowOff>
    </xdr:from>
    <xdr:to>
      <xdr:col>1</xdr:col>
      <xdr:colOff>1085850</xdr:colOff>
      <xdr:row>58</xdr:row>
      <xdr:rowOff>190500</xdr:rowOff>
    </xdr:to>
    <xdr:pic>
      <xdr:nvPicPr>
        <xdr:cNvPr id="837580" name="Picture 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76950" y="9915525"/>
          <a:ext cx="676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30</xdr:row>
      <xdr:rowOff>66675</xdr:rowOff>
    </xdr:from>
    <xdr:to>
      <xdr:col>1</xdr:col>
      <xdr:colOff>1343025</xdr:colOff>
      <xdr:row>35</xdr:row>
      <xdr:rowOff>142875</xdr:rowOff>
    </xdr:to>
    <xdr:pic>
      <xdr:nvPicPr>
        <xdr:cNvPr id="837581" name="Picture 1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67425" y="5267325"/>
          <a:ext cx="9429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38</xdr:row>
      <xdr:rowOff>57150</xdr:rowOff>
    </xdr:from>
    <xdr:to>
      <xdr:col>1</xdr:col>
      <xdr:colOff>1257300</xdr:colOff>
      <xdr:row>43</xdr:row>
      <xdr:rowOff>85725</xdr:rowOff>
    </xdr:to>
    <xdr:pic>
      <xdr:nvPicPr>
        <xdr:cNvPr id="837582" name="Picture 1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67425" y="6553200"/>
          <a:ext cx="8572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48</xdr:row>
      <xdr:rowOff>28575</xdr:rowOff>
    </xdr:from>
    <xdr:to>
      <xdr:col>1</xdr:col>
      <xdr:colOff>990600</xdr:colOff>
      <xdr:row>49</xdr:row>
      <xdr:rowOff>133350</xdr:rowOff>
    </xdr:to>
    <xdr:pic>
      <xdr:nvPicPr>
        <xdr:cNvPr id="837583" name="Picture 1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305550" y="8143875"/>
          <a:ext cx="3524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62</xdr:row>
      <xdr:rowOff>28575</xdr:rowOff>
    </xdr:from>
    <xdr:to>
      <xdr:col>1</xdr:col>
      <xdr:colOff>1028700</xdr:colOff>
      <xdr:row>62</xdr:row>
      <xdr:rowOff>400050</xdr:rowOff>
    </xdr:to>
    <xdr:pic>
      <xdr:nvPicPr>
        <xdr:cNvPr id="837584" name="Picture 17"/>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286500" y="11010900"/>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63</xdr:row>
      <xdr:rowOff>38100</xdr:rowOff>
    </xdr:from>
    <xdr:to>
      <xdr:col>1</xdr:col>
      <xdr:colOff>990600</xdr:colOff>
      <xdr:row>63</xdr:row>
      <xdr:rowOff>400050</xdr:rowOff>
    </xdr:to>
    <xdr:pic>
      <xdr:nvPicPr>
        <xdr:cNvPr id="837585" name="Picture 1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57925" y="11449050"/>
          <a:ext cx="4000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64</xdr:row>
      <xdr:rowOff>38100</xdr:rowOff>
    </xdr:from>
    <xdr:to>
      <xdr:col>1</xdr:col>
      <xdr:colOff>1190625</xdr:colOff>
      <xdr:row>64</xdr:row>
      <xdr:rowOff>352425</xdr:rowOff>
    </xdr:to>
    <xdr:pic>
      <xdr:nvPicPr>
        <xdr:cNvPr id="837586" name="Picture 2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48375" y="11887200"/>
          <a:ext cx="8096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47625</xdr:colOff>
      <xdr:row>6</xdr:row>
      <xdr:rowOff>142875</xdr:rowOff>
    </xdr:from>
    <xdr:to>
      <xdr:col>9</xdr:col>
      <xdr:colOff>1000125</xdr:colOff>
      <xdr:row>22</xdr:row>
      <xdr:rowOff>47625</xdr:rowOff>
    </xdr:to>
    <xdr:pic>
      <xdr:nvPicPr>
        <xdr:cNvPr id="837587" name="Picture 2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601950" y="1190625"/>
          <a:ext cx="2343150"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228600</xdr:colOff>
      <xdr:row>27</xdr:row>
      <xdr:rowOff>161925</xdr:rowOff>
    </xdr:from>
    <xdr:to>
      <xdr:col>9</xdr:col>
      <xdr:colOff>914400</xdr:colOff>
      <xdr:row>40</xdr:row>
      <xdr:rowOff>142875</xdr:rowOff>
    </xdr:to>
    <xdr:pic>
      <xdr:nvPicPr>
        <xdr:cNvPr id="837588" name="Picture 25"/>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782925" y="4686300"/>
          <a:ext cx="207645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95250</xdr:colOff>
      <xdr:row>47</xdr:row>
      <xdr:rowOff>19050</xdr:rowOff>
    </xdr:from>
    <xdr:to>
      <xdr:col>9</xdr:col>
      <xdr:colOff>895350</xdr:colOff>
      <xdr:row>59</xdr:row>
      <xdr:rowOff>9525</xdr:rowOff>
    </xdr:to>
    <xdr:pic>
      <xdr:nvPicPr>
        <xdr:cNvPr id="837589" name="Picture 27"/>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649575" y="7972425"/>
          <a:ext cx="21907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57150</xdr:colOff>
      <xdr:row>65</xdr:row>
      <xdr:rowOff>209550</xdr:rowOff>
    </xdr:from>
    <xdr:to>
      <xdr:col>9</xdr:col>
      <xdr:colOff>952500</xdr:colOff>
      <xdr:row>75</xdr:row>
      <xdr:rowOff>342900</xdr:rowOff>
    </xdr:to>
    <xdr:pic>
      <xdr:nvPicPr>
        <xdr:cNvPr id="837590" name="Picture 29"/>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611475" y="12449175"/>
          <a:ext cx="2286000"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20</xdr:row>
      <xdr:rowOff>0</xdr:rowOff>
    </xdr:from>
    <xdr:to>
      <xdr:col>3</xdr:col>
      <xdr:colOff>0</xdr:colOff>
      <xdr:row>21</xdr:row>
      <xdr:rowOff>9525</xdr:rowOff>
    </xdr:to>
    <xdr:pic>
      <xdr:nvPicPr>
        <xdr:cNvPr id="837591" name="Рисунок 8" descr="ГО.jpg"/>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544175" y="331470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1552575</xdr:colOff>
      <xdr:row>20</xdr:row>
      <xdr:rowOff>161925</xdr:rowOff>
    </xdr:from>
    <xdr:to>
      <xdr:col>1</xdr:col>
      <xdr:colOff>1552575</xdr:colOff>
      <xdr:row>22</xdr:row>
      <xdr:rowOff>66675</xdr:rowOff>
    </xdr:to>
    <xdr:pic>
      <xdr:nvPicPr>
        <xdr:cNvPr id="837592" name="Рисунок 8" descr="ГО.jpg"/>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219950" y="3476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19</xdr:row>
      <xdr:rowOff>38100</xdr:rowOff>
    </xdr:from>
    <xdr:to>
      <xdr:col>1</xdr:col>
      <xdr:colOff>1038225</xdr:colOff>
      <xdr:row>20</xdr:row>
      <xdr:rowOff>133350</xdr:rowOff>
    </xdr:to>
    <xdr:pic>
      <xdr:nvPicPr>
        <xdr:cNvPr id="837593" name="Рисунок 14" descr="ГО.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305550" y="3190875"/>
          <a:ext cx="4000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47625</xdr:rowOff>
    </xdr:from>
    <xdr:to>
      <xdr:col>1</xdr:col>
      <xdr:colOff>1266825</xdr:colOff>
      <xdr:row>11</xdr:row>
      <xdr:rowOff>123825</xdr:rowOff>
    </xdr:to>
    <xdr:pic>
      <xdr:nvPicPr>
        <xdr:cNvPr id="837594" name="Picture 1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91225" y="1095375"/>
          <a:ext cx="9429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14</xdr:row>
      <xdr:rowOff>19050</xdr:rowOff>
    </xdr:from>
    <xdr:to>
      <xdr:col>1</xdr:col>
      <xdr:colOff>1238250</xdr:colOff>
      <xdr:row>17</xdr:row>
      <xdr:rowOff>152400</xdr:rowOff>
    </xdr:to>
    <xdr:pic>
      <xdr:nvPicPr>
        <xdr:cNvPr id="837595" name="Picture 1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67450" y="2362200"/>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73</xdr:row>
      <xdr:rowOff>66675</xdr:rowOff>
    </xdr:from>
    <xdr:to>
      <xdr:col>1</xdr:col>
      <xdr:colOff>1524000</xdr:colOff>
      <xdr:row>73</xdr:row>
      <xdr:rowOff>304800</xdr:rowOff>
    </xdr:to>
    <xdr:pic>
      <xdr:nvPicPr>
        <xdr:cNvPr id="837596" name="Рисунок 29" descr="681_big.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791200" y="13801725"/>
          <a:ext cx="14001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74</xdr:row>
      <xdr:rowOff>247650</xdr:rowOff>
    </xdr:from>
    <xdr:to>
      <xdr:col>1</xdr:col>
      <xdr:colOff>1581150</xdr:colOff>
      <xdr:row>75</xdr:row>
      <xdr:rowOff>85725</xdr:rowOff>
    </xdr:to>
    <xdr:pic>
      <xdr:nvPicPr>
        <xdr:cNvPr id="837597" name="Picture 50"/>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734050" y="14335125"/>
          <a:ext cx="15144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22</xdr:row>
      <xdr:rowOff>38100</xdr:rowOff>
    </xdr:from>
    <xdr:to>
      <xdr:col>1</xdr:col>
      <xdr:colOff>1152525</xdr:colOff>
      <xdr:row>23</xdr:row>
      <xdr:rowOff>142875</xdr:rowOff>
    </xdr:to>
    <xdr:pic>
      <xdr:nvPicPr>
        <xdr:cNvPr id="837598"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7450" y="3676650"/>
          <a:ext cx="552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1485900</xdr:colOff>
      <xdr:row>52</xdr:row>
      <xdr:rowOff>85725</xdr:rowOff>
    </xdr:from>
    <xdr:to>
      <xdr:col>0</xdr:col>
      <xdr:colOff>2581275</xdr:colOff>
      <xdr:row>55</xdr:row>
      <xdr:rowOff>66675</xdr:rowOff>
    </xdr:to>
    <xdr:pic>
      <xdr:nvPicPr>
        <xdr:cNvPr id="572261"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900" y="10496550"/>
          <a:ext cx="10953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1400175</xdr:colOff>
      <xdr:row>59</xdr:row>
      <xdr:rowOff>57150</xdr:rowOff>
    </xdr:from>
    <xdr:to>
      <xdr:col>0</xdr:col>
      <xdr:colOff>2609850</xdr:colOff>
      <xdr:row>62</xdr:row>
      <xdr:rowOff>85725</xdr:rowOff>
    </xdr:to>
    <xdr:pic>
      <xdr:nvPicPr>
        <xdr:cNvPr id="572262"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0175" y="11468100"/>
          <a:ext cx="12096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12</xdr:row>
      <xdr:rowOff>85725</xdr:rowOff>
    </xdr:from>
    <xdr:to>
      <xdr:col>0</xdr:col>
      <xdr:colOff>1952625</xdr:colOff>
      <xdr:row>20</xdr:row>
      <xdr:rowOff>76200</xdr:rowOff>
    </xdr:to>
    <xdr:pic>
      <xdr:nvPicPr>
        <xdr:cNvPr id="701385" name="Picture 171" descr="Рисунок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209925"/>
          <a:ext cx="18669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628650</xdr:colOff>
      <xdr:row>34</xdr:row>
      <xdr:rowOff>104775</xdr:rowOff>
    </xdr:from>
    <xdr:to>
      <xdr:col>0</xdr:col>
      <xdr:colOff>1323975</xdr:colOff>
      <xdr:row>38</xdr:row>
      <xdr:rowOff>228600</xdr:rowOff>
    </xdr:to>
    <xdr:pic>
      <xdr:nvPicPr>
        <xdr:cNvPr id="701386" name="Picture 18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650" y="7972425"/>
          <a:ext cx="6953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23</xdr:row>
      <xdr:rowOff>85725</xdr:rowOff>
    </xdr:from>
    <xdr:to>
      <xdr:col>0</xdr:col>
      <xdr:colOff>1676400</xdr:colOff>
      <xdr:row>32</xdr:row>
      <xdr:rowOff>200025</xdr:rowOff>
    </xdr:to>
    <xdr:pic>
      <xdr:nvPicPr>
        <xdr:cNvPr id="701387" name="Picture 234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5648325"/>
          <a:ext cx="134302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6</xdr:row>
      <xdr:rowOff>9525</xdr:rowOff>
    </xdr:from>
    <xdr:to>
      <xdr:col>0</xdr:col>
      <xdr:colOff>1104900</xdr:colOff>
      <xdr:row>8</xdr:row>
      <xdr:rowOff>209550</xdr:rowOff>
    </xdr:to>
    <xdr:pic>
      <xdr:nvPicPr>
        <xdr:cNvPr id="701388"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1809750"/>
          <a:ext cx="3714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276225</xdr:colOff>
      <xdr:row>42</xdr:row>
      <xdr:rowOff>76200</xdr:rowOff>
    </xdr:from>
    <xdr:to>
      <xdr:col>0</xdr:col>
      <xdr:colOff>1190625</xdr:colOff>
      <xdr:row>43</xdr:row>
      <xdr:rowOff>209550</xdr:rowOff>
    </xdr:to>
    <xdr:pic>
      <xdr:nvPicPr>
        <xdr:cNvPr id="848745" name="Picture 14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15554325"/>
          <a:ext cx="914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10</xdr:col>
      <xdr:colOff>609600</xdr:colOff>
      <xdr:row>20</xdr:row>
      <xdr:rowOff>38100</xdr:rowOff>
    </xdr:from>
    <xdr:to>
      <xdr:col>10</xdr:col>
      <xdr:colOff>1019175</xdr:colOff>
      <xdr:row>21</xdr:row>
      <xdr:rowOff>228600</xdr:rowOff>
    </xdr:to>
    <xdr:pic>
      <xdr:nvPicPr>
        <xdr:cNvPr id="848746" name="Picture 15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6175" y="6638925"/>
          <a:ext cx="4095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10</xdr:col>
      <xdr:colOff>276225</xdr:colOff>
      <xdr:row>17</xdr:row>
      <xdr:rowOff>66675</xdr:rowOff>
    </xdr:from>
    <xdr:to>
      <xdr:col>10</xdr:col>
      <xdr:colOff>1447800</xdr:colOff>
      <xdr:row>19</xdr:row>
      <xdr:rowOff>9525</xdr:rowOff>
    </xdr:to>
    <xdr:pic>
      <xdr:nvPicPr>
        <xdr:cNvPr id="848747" name="Picture 17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72800" y="5791200"/>
          <a:ext cx="1171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10</xdr:col>
      <xdr:colOff>104775</xdr:colOff>
      <xdr:row>37</xdr:row>
      <xdr:rowOff>200025</xdr:rowOff>
    </xdr:from>
    <xdr:to>
      <xdr:col>10</xdr:col>
      <xdr:colOff>1638300</xdr:colOff>
      <xdr:row>38</xdr:row>
      <xdr:rowOff>171450</xdr:rowOff>
    </xdr:to>
    <xdr:pic>
      <xdr:nvPicPr>
        <xdr:cNvPr id="848748" name="Рисунок 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01350" y="12820650"/>
          <a:ext cx="1533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10</xdr:col>
      <xdr:colOff>104775</xdr:colOff>
      <xdr:row>39</xdr:row>
      <xdr:rowOff>28575</xdr:rowOff>
    </xdr:from>
    <xdr:to>
      <xdr:col>10</xdr:col>
      <xdr:colOff>1581150</xdr:colOff>
      <xdr:row>40</xdr:row>
      <xdr:rowOff>0</xdr:rowOff>
    </xdr:to>
    <xdr:pic>
      <xdr:nvPicPr>
        <xdr:cNvPr id="848749" name="Рисунок 3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801350" y="13858875"/>
          <a:ext cx="14763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10</xdr:col>
      <xdr:colOff>123825</xdr:colOff>
      <xdr:row>34</xdr:row>
      <xdr:rowOff>314325</xdr:rowOff>
    </xdr:from>
    <xdr:to>
      <xdr:col>10</xdr:col>
      <xdr:colOff>1590675</xdr:colOff>
      <xdr:row>36</xdr:row>
      <xdr:rowOff>219075</xdr:rowOff>
    </xdr:to>
    <xdr:pic>
      <xdr:nvPicPr>
        <xdr:cNvPr id="848750" name="Рисунок 3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820400" y="11372850"/>
          <a:ext cx="1466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447675</xdr:colOff>
      <xdr:row>26</xdr:row>
      <xdr:rowOff>76200</xdr:rowOff>
    </xdr:from>
    <xdr:to>
      <xdr:col>0</xdr:col>
      <xdr:colOff>1057275</xdr:colOff>
      <xdr:row>28</xdr:row>
      <xdr:rowOff>9525</xdr:rowOff>
    </xdr:to>
    <xdr:pic>
      <xdr:nvPicPr>
        <xdr:cNvPr id="848751" name="Picture 459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7675" y="8601075"/>
          <a:ext cx="6096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466725</xdr:colOff>
      <xdr:row>29</xdr:row>
      <xdr:rowOff>171450</xdr:rowOff>
    </xdr:from>
    <xdr:to>
      <xdr:col>0</xdr:col>
      <xdr:colOff>1009650</xdr:colOff>
      <xdr:row>30</xdr:row>
      <xdr:rowOff>295275</xdr:rowOff>
    </xdr:to>
    <xdr:pic>
      <xdr:nvPicPr>
        <xdr:cNvPr id="848752" name="Picture 459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66725" y="9658350"/>
          <a:ext cx="542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514350</xdr:colOff>
      <xdr:row>32</xdr:row>
      <xdr:rowOff>66675</xdr:rowOff>
    </xdr:from>
    <xdr:to>
      <xdr:col>0</xdr:col>
      <xdr:colOff>942975</xdr:colOff>
      <xdr:row>33</xdr:row>
      <xdr:rowOff>152400</xdr:rowOff>
    </xdr:to>
    <xdr:pic>
      <xdr:nvPicPr>
        <xdr:cNvPr id="848753" name="Picture 459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4350" y="10506075"/>
          <a:ext cx="4286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419100</xdr:colOff>
      <xdr:row>36</xdr:row>
      <xdr:rowOff>76200</xdr:rowOff>
    </xdr:from>
    <xdr:to>
      <xdr:col>0</xdr:col>
      <xdr:colOff>1114425</xdr:colOff>
      <xdr:row>36</xdr:row>
      <xdr:rowOff>495300</xdr:rowOff>
    </xdr:to>
    <xdr:pic>
      <xdr:nvPicPr>
        <xdr:cNvPr id="848754" name="Picture 2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19100" y="12144375"/>
          <a:ext cx="6953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400050</xdr:colOff>
      <xdr:row>39</xdr:row>
      <xdr:rowOff>19050</xdr:rowOff>
    </xdr:from>
    <xdr:to>
      <xdr:col>0</xdr:col>
      <xdr:colOff>1247775</xdr:colOff>
      <xdr:row>39</xdr:row>
      <xdr:rowOff>428625</xdr:rowOff>
    </xdr:to>
    <xdr:pic>
      <xdr:nvPicPr>
        <xdr:cNvPr id="848755" name="Picture 2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00050" y="13849350"/>
          <a:ext cx="8477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542925</xdr:colOff>
      <xdr:row>38</xdr:row>
      <xdr:rowOff>47625</xdr:rowOff>
    </xdr:from>
    <xdr:to>
      <xdr:col>0</xdr:col>
      <xdr:colOff>1038225</xdr:colOff>
      <xdr:row>38</xdr:row>
      <xdr:rowOff>514350</xdr:rowOff>
    </xdr:to>
    <xdr:pic>
      <xdr:nvPicPr>
        <xdr:cNvPr id="848756" name="Picture 459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2925" y="13306425"/>
          <a:ext cx="4953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523875</xdr:colOff>
      <xdr:row>37</xdr:row>
      <xdr:rowOff>9525</xdr:rowOff>
    </xdr:from>
    <xdr:to>
      <xdr:col>0</xdr:col>
      <xdr:colOff>1038225</xdr:colOff>
      <xdr:row>37</xdr:row>
      <xdr:rowOff>419100</xdr:rowOff>
    </xdr:to>
    <xdr:pic>
      <xdr:nvPicPr>
        <xdr:cNvPr id="848757" name="Picture 459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23875" y="12630150"/>
          <a:ext cx="5143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600075</xdr:colOff>
      <xdr:row>40</xdr:row>
      <xdr:rowOff>66675</xdr:rowOff>
    </xdr:from>
    <xdr:to>
      <xdr:col>0</xdr:col>
      <xdr:colOff>952500</xdr:colOff>
      <xdr:row>40</xdr:row>
      <xdr:rowOff>514350</xdr:rowOff>
    </xdr:to>
    <xdr:pic>
      <xdr:nvPicPr>
        <xdr:cNvPr id="848758" name="Picture 459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00075" y="14420850"/>
          <a:ext cx="3524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10</xdr:col>
      <xdr:colOff>485775</xdr:colOff>
      <xdr:row>15</xdr:row>
      <xdr:rowOff>85725</xdr:rowOff>
    </xdr:from>
    <xdr:to>
      <xdr:col>10</xdr:col>
      <xdr:colOff>1285875</xdr:colOff>
      <xdr:row>16</xdr:row>
      <xdr:rowOff>180975</xdr:rowOff>
    </xdr:to>
    <xdr:pic>
      <xdr:nvPicPr>
        <xdr:cNvPr id="848759" name="Picture 612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182350" y="5334000"/>
          <a:ext cx="8001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381000</xdr:colOff>
      <xdr:row>16</xdr:row>
      <xdr:rowOff>57150</xdr:rowOff>
    </xdr:from>
    <xdr:to>
      <xdr:col>0</xdr:col>
      <xdr:colOff>1190625</xdr:colOff>
      <xdr:row>22</xdr:row>
      <xdr:rowOff>38100</xdr:rowOff>
    </xdr:to>
    <xdr:pic>
      <xdr:nvPicPr>
        <xdr:cNvPr id="848760" name="Picture 140"/>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81000" y="5543550"/>
          <a:ext cx="809625"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276225</xdr:colOff>
      <xdr:row>5</xdr:row>
      <xdr:rowOff>123825</xdr:rowOff>
    </xdr:from>
    <xdr:to>
      <xdr:col>0</xdr:col>
      <xdr:colOff>752475</xdr:colOff>
      <xdr:row>9</xdr:row>
      <xdr:rowOff>38100</xdr:rowOff>
    </xdr:to>
    <xdr:pic>
      <xdr:nvPicPr>
        <xdr:cNvPr id="848761" name="Picture 1022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76225" y="1657350"/>
          <a:ext cx="4762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504825</xdr:colOff>
      <xdr:row>41</xdr:row>
      <xdr:rowOff>38100</xdr:rowOff>
    </xdr:from>
    <xdr:to>
      <xdr:col>0</xdr:col>
      <xdr:colOff>1095375</xdr:colOff>
      <xdr:row>41</xdr:row>
      <xdr:rowOff>447675</xdr:rowOff>
    </xdr:to>
    <xdr:pic>
      <xdr:nvPicPr>
        <xdr:cNvPr id="848762" name="Рисунок 32" descr="крепление хомут 62х55 для наконечника.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4825" y="14944725"/>
          <a:ext cx="5905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76200</xdr:colOff>
      <xdr:row>23</xdr:row>
      <xdr:rowOff>66675</xdr:rowOff>
    </xdr:from>
    <xdr:to>
      <xdr:col>10</xdr:col>
      <xdr:colOff>1638300</xdr:colOff>
      <xdr:row>24</xdr:row>
      <xdr:rowOff>209550</xdr:rowOff>
    </xdr:to>
    <xdr:pic>
      <xdr:nvPicPr>
        <xdr:cNvPr id="848763" name="Picture 1157"/>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772775" y="7734300"/>
          <a:ext cx="15621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180975</xdr:colOff>
      <xdr:row>27</xdr:row>
      <xdr:rowOff>190500</xdr:rowOff>
    </xdr:from>
    <xdr:to>
      <xdr:col>10</xdr:col>
      <xdr:colOff>1600200</xdr:colOff>
      <xdr:row>28</xdr:row>
      <xdr:rowOff>304800</xdr:rowOff>
    </xdr:to>
    <xdr:pic>
      <xdr:nvPicPr>
        <xdr:cNvPr id="848764" name="Picture 1159"/>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877550" y="8915400"/>
          <a:ext cx="14192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676275</xdr:colOff>
      <xdr:row>32</xdr:row>
      <xdr:rowOff>28575</xdr:rowOff>
    </xdr:from>
    <xdr:to>
      <xdr:col>10</xdr:col>
      <xdr:colOff>1047750</xdr:colOff>
      <xdr:row>33</xdr:row>
      <xdr:rowOff>304800</xdr:rowOff>
    </xdr:to>
    <xdr:pic>
      <xdr:nvPicPr>
        <xdr:cNvPr id="848765" name="Picture 9766"/>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372850" y="10467975"/>
          <a:ext cx="371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619125</xdr:colOff>
      <xdr:row>13</xdr:row>
      <xdr:rowOff>28575</xdr:rowOff>
    </xdr:from>
    <xdr:to>
      <xdr:col>10</xdr:col>
      <xdr:colOff>981075</xdr:colOff>
      <xdr:row>14</xdr:row>
      <xdr:rowOff>171450</xdr:rowOff>
    </xdr:to>
    <xdr:pic>
      <xdr:nvPicPr>
        <xdr:cNvPr id="848766" name="Рисунок 36" descr="наконечник для уличного освещения.pn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315700" y="4610100"/>
          <a:ext cx="3619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276225</xdr:colOff>
      <xdr:row>22</xdr:row>
      <xdr:rowOff>19050</xdr:rowOff>
    </xdr:from>
    <xdr:to>
      <xdr:col>10</xdr:col>
      <xdr:colOff>1257300</xdr:colOff>
      <xdr:row>22</xdr:row>
      <xdr:rowOff>428625</xdr:rowOff>
    </xdr:to>
    <xdr:pic>
      <xdr:nvPicPr>
        <xdr:cNvPr id="848767" name="Рисунок 36"/>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972800" y="7258050"/>
          <a:ext cx="981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209550</xdr:colOff>
      <xdr:row>25</xdr:row>
      <xdr:rowOff>38100</xdr:rowOff>
    </xdr:from>
    <xdr:to>
      <xdr:col>10</xdr:col>
      <xdr:colOff>1162050</xdr:colOff>
      <xdr:row>26</xdr:row>
      <xdr:rowOff>161925</xdr:rowOff>
    </xdr:to>
    <xdr:pic>
      <xdr:nvPicPr>
        <xdr:cNvPr id="848768" name="Рисунок 3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0906125" y="82962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257175</xdr:colOff>
      <xdr:row>30</xdr:row>
      <xdr:rowOff>66675</xdr:rowOff>
    </xdr:from>
    <xdr:to>
      <xdr:col>10</xdr:col>
      <xdr:colOff>1400175</xdr:colOff>
      <xdr:row>31</xdr:row>
      <xdr:rowOff>152400</xdr:rowOff>
    </xdr:to>
    <xdr:pic>
      <xdr:nvPicPr>
        <xdr:cNvPr id="848769" name="Picture 11028"/>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953750" y="9896475"/>
          <a:ext cx="11430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35</xdr:row>
      <xdr:rowOff>57150</xdr:rowOff>
    </xdr:from>
    <xdr:to>
      <xdr:col>0</xdr:col>
      <xdr:colOff>847725</xdr:colOff>
      <xdr:row>35</xdr:row>
      <xdr:rowOff>352425</xdr:rowOff>
    </xdr:to>
    <xdr:pic>
      <xdr:nvPicPr>
        <xdr:cNvPr id="848770" name="Рисунок 39"/>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04825" y="11649075"/>
          <a:ext cx="3429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12</xdr:row>
      <xdr:rowOff>85725</xdr:rowOff>
    </xdr:from>
    <xdr:to>
      <xdr:col>0</xdr:col>
      <xdr:colOff>1143000</xdr:colOff>
      <xdr:row>12</xdr:row>
      <xdr:rowOff>504825</xdr:rowOff>
    </xdr:to>
    <xdr:pic>
      <xdr:nvPicPr>
        <xdr:cNvPr id="848771" name="Picture 15173"/>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81000" y="4086225"/>
          <a:ext cx="7620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57150</xdr:colOff>
      <xdr:row>11</xdr:row>
      <xdr:rowOff>104775</xdr:rowOff>
    </xdr:from>
    <xdr:to>
      <xdr:col>10</xdr:col>
      <xdr:colOff>1600200</xdr:colOff>
      <xdr:row>11</xdr:row>
      <xdr:rowOff>476250</xdr:rowOff>
    </xdr:to>
    <xdr:pic>
      <xdr:nvPicPr>
        <xdr:cNvPr id="848772" name="Picture 16930"/>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753725" y="3571875"/>
          <a:ext cx="15430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523875</xdr:colOff>
      <xdr:row>12</xdr:row>
      <xdr:rowOff>104775</xdr:rowOff>
    </xdr:from>
    <xdr:to>
      <xdr:col>10</xdr:col>
      <xdr:colOff>1095375</xdr:colOff>
      <xdr:row>12</xdr:row>
      <xdr:rowOff>438150</xdr:rowOff>
    </xdr:to>
    <xdr:pic>
      <xdr:nvPicPr>
        <xdr:cNvPr id="848773" name="Picture 16932"/>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220450" y="4105275"/>
          <a:ext cx="5715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34</xdr:row>
      <xdr:rowOff>76200</xdr:rowOff>
    </xdr:from>
    <xdr:to>
      <xdr:col>0</xdr:col>
      <xdr:colOff>1066800</xdr:colOff>
      <xdr:row>34</xdr:row>
      <xdr:rowOff>466725</xdr:rowOff>
    </xdr:to>
    <xdr:pic>
      <xdr:nvPicPr>
        <xdr:cNvPr id="848774" name="Picture 16934"/>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95300" y="11134725"/>
          <a:ext cx="571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257175</xdr:colOff>
      <xdr:row>5</xdr:row>
      <xdr:rowOff>38100</xdr:rowOff>
    </xdr:from>
    <xdr:to>
      <xdr:col>10</xdr:col>
      <xdr:colOff>1390650</xdr:colOff>
      <xdr:row>5</xdr:row>
      <xdr:rowOff>428625</xdr:rowOff>
    </xdr:to>
    <xdr:pic>
      <xdr:nvPicPr>
        <xdr:cNvPr id="848775" name="Picture 31417"/>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0953750" y="1571625"/>
          <a:ext cx="11334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447675</xdr:colOff>
      <xdr:row>6</xdr:row>
      <xdr:rowOff>38100</xdr:rowOff>
    </xdr:from>
    <xdr:to>
      <xdr:col>10</xdr:col>
      <xdr:colOff>1200150</xdr:colOff>
      <xdr:row>8</xdr:row>
      <xdr:rowOff>133350</xdr:rowOff>
    </xdr:to>
    <xdr:pic>
      <xdr:nvPicPr>
        <xdr:cNvPr id="848776" name="Picture 31419"/>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144250" y="2095500"/>
          <a:ext cx="7524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133350</xdr:colOff>
      <xdr:row>9</xdr:row>
      <xdr:rowOff>152400</xdr:rowOff>
    </xdr:from>
    <xdr:to>
      <xdr:col>10</xdr:col>
      <xdr:colOff>1562100</xdr:colOff>
      <xdr:row>10</xdr:row>
      <xdr:rowOff>285750</xdr:rowOff>
    </xdr:to>
    <xdr:pic>
      <xdr:nvPicPr>
        <xdr:cNvPr id="848777" name="Picture 31423"/>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0829925" y="2781300"/>
          <a:ext cx="1428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523875</xdr:colOff>
      <xdr:row>10</xdr:row>
      <xdr:rowOff>66675</xdr:rowOff>
    </xdr:from>
    <xdr:to>
      <xdr:col>0</xdr:col>
      <xdr:colOff>990600</xdr:colOff>
      <xdr:row>10</xdr:row>
      <xdr:rowOff>581025</xdr:rowOff>
    </xdr:to>
    <xdr:pic>
      <xdr:nvPicPr>
        <xdr:cNvPr id="848778" name="Рисунок 38" descr="крепление скоба + саморез 5,5х32_01.jpg"/>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rot="836929">
          <a:off x="523875" y="2886075"/>
          <a:ext cx="4667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847725</xdr:colOff>
      <xdr:row>5</xdr:row>
      <xdr:rowOff>66675</xdr:rowOff>
    </xdr:from>
    <xdr:to>
      <xdr:col>0</xdr:col>
      <xdr:colOff>1247775</xdr:colOff>
      <xdr:row>9</xdr:row>
      <xdr:rowOff>57150</xdr:rowOff>
    </xdr:to>
    <xdr:pic>
      <xdr:nvPicPr>
        <xdr:cNvPr id="848779" name="Picture 140"/>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847725" y="1600200"/>
          <a:ext cx="4000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571500</xdr:colOff>
      <xdr:row>11</xdr:row>
      <xdr:rowOff>9525</xdr:rowOff>
    </xdr:from>
    <xdr:to>
      <xdr:col>0</xdr:col>
      <xdr:colOff>1000125</xdr:colOff>
      <xdr:row>11</xdr:row>
      <xdr:rowOff>504825</xdr:rowOff>
    </xdr:to>
    <xdr:pic>
      <xdr:nvPicPr>
        <xdr:cNvPr id="848780" name="Рисунок 4"/>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571500" y="3476625"/>
          <a:ext cx="4286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13</xdr:row>
      <xdr:rowOff>28575</xdr:rowOff>
    </xdr:from>
    <xdr:to>
      <xdr:col>0</xdr:col>
      <xdr:colOff>1000125</xdr:colOff>
      <xdr:row>13</xdr:row>
      <xdr:rowOff>428625</xdr:rowOff>
    </xdr:to>
    <xdr:pic>
      <xdr:nvPicPr>
        <xdr:cNvPr id="848781" name="Рисунок 40"/>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81000" y="4610100"/>
          <a:ext cx="6191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390525</xdr:colOff>
      <xdr:row>11</xdr:row>
      <xdr:rowOff>133350</xdr:rowOff>
    </xdr:from>
    <xdr:to>
      <xdr:col>0</xdr:col>
      <xdr:colOff>971550</xdr:colOff>
      <xdr:row>12</xdr:row>
      <xdr:rowOff>142875</xdr:rowOff>
    </xdr:to>
    <xdr:pic>
      <xdr:nvPicPr>
        <xdr:cNvPr id="860379" name="Picture 28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2933700"/>
          <a:ext cx="5810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16</xdr:col>
      <xdr:colOff>219075</xdr:colOff>
      <xdr:row>11</xdr:row>
      <xdr:rowOff>152400</xdr:rowOff>
    </xdr:from>
    <xdr:to>
      <xdr:col>16</xdr:col>
      <xdr:colOff>762000</xdr:colOff>
      <xdr:row>12</xdr:row>
      <xdr:rowOff>47625</xdr:rowOff>
    </xdr:to>
    <xdr:pic>
      <xdr:nvPicPr>
        <xdr:cNvPr id="860380" name="Picture 28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00" y="295275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16</xdr:col>
      <xdr:colOff>209550</xdr:colOff>
      <xdr:row>7</xdr:row>
      <xdr:rowOff>161925</xdr:rowOff>
    </xdr:from>
    <xdr:to>
      <xdr:col>16</xdr:col>
      <xdr:colOff>742950</xdr:colOff>
      <xdr:row>9</xdr:row>
      <xdr:rowOff>28575</xdr:rowOff>
    </xdr:to>
    <xdr:pic>
      <xdr:nvPicPr>
        <xdr:cNvPr id="860381" name="Picture 28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34475" y="2133600"/>
          <a:ext cx="5334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38100</xdr:colOff>
      <xdr:row>15</xdr:row>
      <xdr:rowOff>28575</xdr:rowOff>
    </xdr:from>
    <xdr:to>
      <xdr:col>0</xdr:col>
      <xdr:colOff>1285875</xdr:colOff>
      <xdr:row>16</xdr:row>
      <xdr:rowOff>209550</xdr:rowOff>
    </xdr:to>
    <xdr:pic>
      <xdr:nvPicPr>
        <xdr:cNvPr id="860382" name="Picture 28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4581525"/>
          <a:ext cx="12477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400050</xdr:colOff>
      <xdr:row>27</xdr:row>
      <xdr:rowOff>38100</xdr:rowOff>
    </xdr:from>
    <xdr:to>
      <xdr:col>0</xdr:col>
      <xdr:colOff>933450</xdr:colOff>
      <xdr:row>27</xdr:row>
      <xdr:rowOff>466725</xdr:rowOff>
    </xdr:to>
    <xdr:pic>
      <xdr:nvPicPr>
        <xdr:cNvPr id="860383" name="Picture 28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0050" y="7867650"/>
          <a:ext cx="533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152400</xdr:colOff>
      <xdr:row>32</xdr:row>
      <xdr:rowOff>133350</xdr:rowOff>
    </xdr:from>
    <xdr:to>
      <xdr:col>0</xdr:col>
      <xdr:colOff>1247775</xdr:colOff>
      <xdr:row>33</xdr:row>
      <xdr:rowOff>428625</xdr:rowOff>
    </xdr:to>
    <xdr:pic>
      <xdr:nvPicPr>
        <xdr:cNvPr id="860384" name="Picture 29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2400" y="9639300"/>
          <a:ext cx="1095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428625</xdr:colOff>
      <xdr:row>34</xdr:row>
      <xdr:rowOff>57150</xdr:rowOff>
    </xdr:from>
    <xdr:to>
      <xdr:col>0</xdr:col>
      <xdr:colOff>914400</xdr:colOff>
      <xdr:row>34</xdr:row>
      <xdr:rowOff>333375</xdr:rowOff>
    </xdr:to>
    <xdr:pic>
      <xdr:nvPicPr>
        <xdr:cNvPr id="860385" name="Picture 29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8625" y="10239375"/>
          <a:ext cx="4857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428625</xdr:colOff>
      <xdr:row>35</xdr:row>
      <xdr:rowOff>123825</xdr:rowOff>
    </xdr:from>
    <xdr:to>
      <xdr:col>0</xdr:col>
      <xdr:colOff>885825</xdr:colOff>
      <xdr:row>35</xdr:row>
      <xdr:rowOff>381000</xdr:rowOff>
    </xdr:to>
    <xdr:pic>
      <xdr:nvPicPr>
        <xdr:cNvPr id="860386" name="Picture 29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8625" y="10715625"/>
          <a:ext cx="4572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438150</xdr:colOff>
      <xdr:row>36</xdr:row>
      <xdr:rowOff>38100</xdr:rowOff>
    </xdr:from>
    <xdr:to>
      <xdr:col>0</xdr:col>
      <xdr:colOff>838200</xdr:colOff>
      <xdr:row>36</xdr:row>
      <xdr:rowOff>247650</xdr:rowOff>
    </xdr:to>
    <xdr:pic>
      <xdr:nvPicPr>
        <xdr:cNvPr id="860387" name="Picture 29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8150" y="11125200"/>
          <a:ext cx="4000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438150</xdr:colOff>
      <xdr:row>37</xdr:row>
      <xdr:rowOff>19050</xdr:rowOff>
    </xdr:from>
    <xdr:to>
      <xdr:col>0</xdr:col>
      <xdr:colOff>828675</xdr:colOff>
      <xdr:row>37</xdr:row>
      <xdr:rowOff>257175</xdr:rowOff>
    </xdr:to>
    <xdr:pic>
      <xdr:nvPicPr>
        <xdr:cNvPr id="860388" name="Picture 29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8150" y="11391900"/>
          <a:ext cx="390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485775</xdr:colOff>
      <xdr:row>38</xdr:row>
      <xdr:rowOff>38100</xdr:rowOff>
    </xdr:from>
    <xdr:to>
      <xdr:col>0</xdr:col>
      <xdr:colOff>838200</xdr:colOff>
      <xdr:row>38</xdr:row>
      <xdr:rowOff>285750</xdr:rowOff>
    </xdr:to>
    <xdr:pic>
      <xdr:nvPicPr>
        <xdr:cNvPr id="860389" name="Picture 296"/>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85775" y="11677650"/>
          <a:ext cx="3524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352425</xdr:colOff>
      <xdr:row>39</xdr:row>
      <xdr:rowOff>19050</xdr:rowOff>
    </xdr:from>
    <xdr:to>
      <xdr:col>0</xdr:col>
      <xdr:colOff>990600</xdr:colOff>
      <xdr:row>39</xdr:row>
      <xdr:rowOff>333375</xdr:rowOff>
    </xdr:to>
    <xdr:pic>
      <xdr:nvPicPr>
        <xdr:cNvPr id="860390" name="Picture 279"/>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2425" y="12192000"/>
          <a:ext cx="6381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247650</xdr:colOff>
      <xdr:row>40</xdr:row>
      <xdr:rowOff>19050</xdr:rowOff>
    </xdr:from>
    <xdr:to>
      <xdr:col>0</xdr:col>
      <xdr:colOff>1047750</xdr:colOff>
      <xdr:row>40</xdr:row>
      <xdr:rowOff>342900</xdr:rowOff>
    </xdr:to>
    <xdr:pic>
      <xdr:nvPicPr>
        <xdr:cNvPr id="860391" name="Picture 278"/>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47650" y="12563475"/>
          <a:ext cx="8001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152400</xdr:colOff>
      <xdr:row>41</xdr:row>
      <xdr:rowOff>38100</xdr:rowOff>
    </xdr:from>
    <xdr:to>
      <xdr:col>0</xdr:col>
      <xdr:colOff>1238250</xdr:colOff>
      <xdr:row>42</xdr:row>
      <xdr:rowOff>9525</xdr:rowOff>
    </xdr:to>
    <xdr:pic>
      <xdr:nvPicPr>
        <xdr:cNvPr id="860392" name="Picture 27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2400" y="12944475"/>
          <a:ext cx="1085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361950</xdr:colOff>
      <xdr:row>5</xdr:row>
      <xdr:rowOff>76200</xdr:rowOff>
    </xdr:from>
    <xdr:to>
      <xdr:col>0</xdr:col>
      <xdr:colOff>942975</xdr:colOff>
      <xdr:row>8</xdr:row>
      <xdr:rowOff>161925</xdr:rowOff>
    </xdr:to>
    <xdr:pic>
      <xdr:nvPicPr>
        <xdr:cNvPr id="860393" name="Picture 899"/>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61950" y="1743075"/>
          <a:ext cx="5810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123825</xdr:colOff>
      <xdr:row>17</xdr:row>
      <xdr:rowOff>47625</xdr:rowOff>
    </xdr:from>
    <xdr:to>
      <xdr:col>0</xdr:col>
      <xdr:colOff>1143000</xdr:colOff>
      <xdr:row>19</xdr:row>
      <xdr:rowOff>123825</xdr:rowOff>
    </xdr:to>
    <xdr:pic>
      <xdr:nvPicPr>
        <xdr:cNvPr id="860394" name="Picture 844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3825" y="5095875"/>
          <a:ext cx="10191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76200</xdr:colOff>
      <xdr:row>20</xdr:row>
      <xdr:rowOff>352425</xdr:rowOff>
    </xdr:from>
    <xdr:to>
      <xdr:col>0</xdr:col>
      <xdr:colOff>1295400</xdr:colOff>
      <xdr:row>23</xdr:row>
      <xdr:rowOff>190500</xdr:rowOff>
    </xdr:to>
    <xdr:pic>
      <xdr:nvPicPr>
        <xdr:cNvPr id="860395" name="Picture 8451"/>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200" y="6057900"/>
          <a:ext cx="12192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238125</xdr:colOff>
      <xdr:row>26</xdr:row>
      <xdr:rowOff>28575</xdr:rowOff>
    </xdr:from>
    <xdr:to>
      <xdr:col>0</xdr:col>
      <xdr:colOff>1066800</xdr:colOff>
      <xdr:row>26</xdr:row>
      <xdr:rowOff>400050</xdr:rowOff>
    </xdr:to>
    <xdr:pic>
      <xdr:nvPicPr>
        <xdr:cNvPr id="860396" name="Picture 8453"/>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8125" y="7334250"/>
          <a:ext cx="8286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257175</xdr:colOff>
      <xdr:row>28</xdr:row>
      <xdr:rowOff>28575</xdr:rowOff>
    </xdr:from>
    <xdr:to>
      <xdr:col>0</xdr:col>
      <xdr:colOff>971550</xdr:colOff>
      <xdr:row>29</xdr:row>
      <xdr:rowOff>238125</xdr:rowOff>
    </xdr:to>
    <xdr:pic>
      <xdr:nvPicPr>
        <xdr:cNvPr id="860397" name="Picture 845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7175" y="8391525"/>
          <a:ext cx="7143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30</xdr:row>
      <xdr:rowOff>38100</xdr:rowOff>
    </xdr:from>
    <xdr:to>
      <xdr:col>0</xdr:col>
      <xdr:colOff>647700</xdr:colOff>
      <xdr:row>31</xdr:row>
      <xdr:rowOff>190500</xdr:rowOff>
    </xdr:to>
    <xdr:pic>
      <xdr:nvPicPr>
        <xdr:cNvPr id="860398" name="Рисунок 2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7150" y="89725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30</xdr:row>
      <xdr:rowOff>57150</xdr:rowOff>
    </xdr:from>
    <xdr:to>
      <xdr:col>0</xdr:col>
      <xdr:colOff>1200150</xdr:colOff>
      <xdr:row>31</xdr:row>
      <xdr:rowOff>200025</xdr:rowOff>
    </xdr:to>
    <xdr:pic>
      <xdr:nvPicPr>
        <xdr:cNvPr id="860399" name="Рисунок 2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33425" y="8991600"/>
          <a:ext cx="466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3</xdr:row>
      <xdr:rowOff>114300</xdr:rowOff>
    </xdr:from>
    <xdr:to>
      <xdr:col>0</xdr:col>
      <xdr:colOff>733425</xdr:colOff>
      <xdr:row>34</xdr:row>
      <xdr:rowOff>228600</xdr:rowOff>
    </xdr:to>
    <xdr:pic>
      <xdr:nvPicPr>
        <xdr:cNvPr id="851988" name="Рисунок 22" descr="Все нарезки - копия.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685800"/>
          <a:ext cx="657225" cy="942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57150</xdr:colOff>
      <xdr:row>5</xdr:row>
      <xdr:rowOff>114300</xdr:rowOff>
    </xdr:from>
    <xdr:to>
      <xdr:col>0</xdr:col>
      <xdr:colOff>1885950</xdr:colOff>
      <xdr:row>6</xdr:row>
      <xdr:rowOff>476250</xdr:rowOff>
    </xdr:to>
    <xdr:pic>
      <xdr:nvPicPr>
        <xdr:cNvPr id="801653" name="Picture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181100"/>
          <a:ext cx="18288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609600</xdr:colOff>
      <xdr:row>10</xdr:row>
      <xdr:rowOff>38100</xdr:rowOff>
    </xdr:from>
    <xdr:to>
      <xdr:col>0</xdr:col>
      <xdr:colOff>1181100</xdr:colOff>
      <xdr:row>13</xdr:row>
      <xdr:rowOff>161925</xdr:rowOff>
    </xdr:to>
    <xdr:pic>
      <xdr:nvPicPr>
        <xdr:cNvPr id="801654" name="Рисунок 1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038475"/>
          <a:ext cx="5715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676275</xdr:colOff>
      <xdr:row>14</xdr:row>
      <xdr:rowOff>28575</xdr:rowOff>
    </xdr:from>
    <xdr:to>
      <xdr:col>0</xdr:col>
      <xdr:colOff>923925</xdr:colOff>
      <xdr:row>14</xdr:row>
      <xdr:rowOff>342900</xdr:rowOff>
    </xdr:to>
    <xdr:pic>
      <xdr:nvPicPr>
        <xdr:cNvPr id="801655" name="Рисунок 2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6275" y="3867150"/>
          <a:ext cx="247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609600</xdr:colOff>
      <xdr:row>24</xdr:row>
      <xdr:rowOff>28575</xdr:rowOff>
    </xdr:from>
    <xdr:to>
      <xdr:col>0</xdr:col>
      <xdr:colOff>1057275</xdr:colOff>
      <xdr:row>25</xdr:row>
      <xdr:rowOff>142875</xdr:rowOff>
    </xdr:to>
    <xdr:pic>
      <xdr:nvPicPr>
        <xdr:cNvPr id="801656" name="Рисунок 2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6953250"/>
          <a:ext cx="447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533400</xdr:colOff>
      <xdr:row>17</xdr:row>
      <xdr:rowOff>19050</xdr:rowOff>
    </xdr:from>
    <xdr:to>
      <xdr:col>0</xdr:col>
      <xdr:colOff>1390650</xdr:colOff>
      <xdr:row>17</xdr:row>
      <xdr:rowOff>342900</xdr:rowOff>
    </xdr:to>
    <xdr:pic>
      <xdr:nvPicPr>
        <xdr:cNvPr id="801657" name="Picture 253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3400" y="4714875"/>
          <a:ext cx="857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742950</xdr:colOff>
      <xdr:row>21</xdr:row>
      <xdr:rowOff>114300</xdr:rowOff>
    </xdr:from>
    <xdr:to>
      <xdr:col>0</xdr:col>
      <xdr:colOff>1143000</xdr:colOff>
      <xdr:row>22</xdr:row>
      <xdr:rowOff>209550</xdr:rowOff>
    </xdr:to>
    <xdr:pic>
      <xdr:nvPicPr>
        <xdr:cNvPr id="801658" name="Рисунок 11" descr="ВрО1.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2950" y="5915025"/>
          <a:ext cx="4000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609600</xdr:colOff>
      <xdr:row>23</xdr:row>
      <xdr:rowOff>28575</xdr:rowOff>
    </xdr:from>
    <xdr:to>
      <xdr:col>0</xdr:col>
      <xdr:colOff>1276350</xdr:colOff>
      <xdr:row>23</xdr:row>
      <xdr:rowOff>323850</xdr:rowOff>
    </xdr:to>
    <xdr:pic>
      <xdr:nvPicPr>
        <xdr:cNvPr id="801659" name="Picture 438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 y="6610350"/>
          <a:ext cx="6667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619125</xdr:colOff>
      <xdr:row>31</xdr:row>
      <xdr:rowOff>28575</xdr:rowOff>
    </xdr:from>
    <xdr:to>
      <xdr:col>0</xdr:col>
      <xdr:colOff>990600</xdr:colOff>
      <xdr:row>31</xdr:row>
      <xdr:rowOff>295275</xdr:rowOff>
    </xdr:to>
    <xdr:pic>
      <xdr:nvPicPr>
        <xdr:cNvPr id="801660" name="Picture 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9125" y="8724900"/>
          <a:ext cx="3714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704850</xdr:colOff>
      <xdr:row>30</xdr:row>
      <xdr:rowOff>19050</xdr:rowOff>
    </xdr:from>
    <xdr:to>
      <xdr:col>0</xdr:col>
      <xdr:colOff>1009650</xdr:colOff>
      <xdr:row>30</xdr:row>
      <xdr:rowOff>285750</xdr:rowOff>
    </xdr:to>
    <xdr:pic>
      <xdr:nvPicPr>
        <xdr:cNvPr id="801661" name="Picture 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04850" y="8410575"/>
          <a:ext cx="304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628650</xdr:colOff>
      <xdr:row>29</xdr:row>
      <xdr:rowOff>19050</xdr:rowOff>
    </xdr:from>
    <xdr:to>
      <xdr:col>0</xdr:col>
      <xdr:colOff>1057275</xdr:colOff>
      <xdr:row>29</xdr:row>
      <xdr:rowOff>314325</xdr:rowOff>
    </xdr:to>
    <xdr:pic>
      <xdr:nvPicPr>
        <xdr:cNvPr id="801662" name="Picture 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8650" y="8058150"/>
          <a:ext cx="4286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6</xdr:row>
      <xdr:rowOff>381000</xdr:rowOff>
    </xdr:from>
    <xdr:to>
      <xdr:col>0</xdr:col>
      <xdr:colOff>1752600</xdr:colOff>
      <xdr:row>8</xdr:row>
      <xdr:rowOff>133350</xdr:rowOff>
    </xdr:to>
    <xdr:pic>
      <xdr:nvPicPr>
        <xdr:cNvPr id="838405" name="Picture 59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514475"/>
          <a:ext cx="17145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10</xdr:col>
      <xdr:colOff>114300</xdr:colOff>
      <xdr:row>6</xdr:row>
      <xdr:rowOff>323850</xdr:rowOff>
    </xdr:from>
    <xdr:to>
      <xdr:col>10</xdr:col>
      <xdr:colOff>1647825</xdr:colOff>
      <xdr:row>8</xdr:row>
      <xdr:rowOff>171450</xdr:rowOff>
    </xdr:to>
    <xdr:pic>
      <xdr:nvPicPr>
        <xdr:cNvPr id="838406" name="Picture 598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96375" y="1457325"/>
          <a:ext cx="1533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314325</xdr:colOff>
      <xdr:row>19</xdr:row>
      <xdr:rowOff>104775</xdr:rowOff>
    </xdr:from>
    <xdr:to>
      <xdr:col>0</xdr:col>
      <xdr:colOff>800100</xdr:colOff>
      <xdr:row>22</xdr:row>
      <xdr:rowOff>180975</xdr:rowOff>
    </xdr:to>
    <xdr:pic>
      <xdr:nvPicPr>
        <xdr:cNvPr id="838407" name="Afbeelding 108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4325" y="6296025"/>
          <a:ext cx="4857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857250</xdr:colOff>
      <xdr:row>19</xdr:row>
      <xdr:rowOff>114300</xdr:rowOff>
    </xdr:from>
    <xdr:to>
      <xdr:col>0</xdr:col>
      <xdr:colOff>1095375</xdr:colOff>
      <xdr:row>23</xdr:row>
      <xdr:rowOff>19050</xdr:rowOff>
    </xdr:to>
    <xdr:pic>
      <xdr:nvPicPr>
        <xdr:cNvPr id="838408" name="Afbeelding 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0" y="6305550"/>
          <a:ext cx="2381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1171575</xdr:colOff>
      <xdr:row>19</xdr:row>
      <xdr:rowOff>133350</xdr:rowOff>
    </xdr:from>
    <xdr:to>
      <xdr:col>0</xdr:col>
      <xdr:colOff>1447800</xdr:colOff>
      <xdr:row>23</xdr:row>
      <xdr:rowOff>9525</xdr:rowOff>
    </xdr:to>
    <xdr:pic>
      <xdr:nvPicPr>
        <xdr:cNvPr id="838409" name="Afbeelding 138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71575" y="6324600"/>
          <a:ext cx="2762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2</xdr:col>
      <xdr:colOff>285750</xdr:colOff>
      <xdr:row>13</xdr:row>
      <xdr:rowOff>66675</xdr:rowOff>
    </xdr:from>
    <xdr:to>
      <xdr:col>3</xdr:col>
      <xdr:colOff>200025</xdr:colOff>
      <xdr:row>13</xdr:row>
      <xdr:rowOff>857250</xdr:rowOff>
    </xdr:to>
    <xdr:pic>
      <xdr:nvPicPr>
        <xdr:cNvPr id="838410" name="Picture 18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52775" y="34099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15</xdr:row>
      <xdr:rowOff>114300</xdr:rowOff>
    </xdr:from>
    <xdr:to>
      <xdr:col>5</xdr:col>
      <xdr:colOff>390525</xdr:colOff>
      <xdr:row>16</xdr:row>
      <xdr:rowOff>180975</xdr:rowOff>
    </xdr:to>
    <xdr:pic>
      <xdr:nvPicPr>
        <xdr:cNvPr id="838411" name="Picture 182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62450" y="4810125"/>
          <a:ext cx="11049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276225</xdr:colOff>
      <xdr:row>13</xdr:row>
      <xdr:rowOff>247650</xdr:rowOff>
    </xdr:from>
    <xdr:to>
      <xdr:col>4</xdr:col>
      <xdr:colOff>123825</xdr:colOff>
      <xdr:row>13</xdr:row>
      <xdr:rowOff>676275</xdr:rowOff>
    </xdr:to>
    <xdr:pic>
      <xdr:nvPicPr>
        <xdr:cNvPr id="838412" name="Picture 1960"/>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019550" y="3590925"/>
          <a:ext cx="466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13</xdr:row>
      <xdr:rowOff>161925</xdr:rowOff>
    </xdr:from>
    <xdr:to>
      <xdr:col>6</xdr:col>
      <xdr:colOff>447675</xdr:colOff>
      <xdr:row>13</xdr:row>
      <xdr:rowOff>762000</xdr:rowOff>
    </xdr:to>
    <xdr:pic>
      <xdr:nvPicPr>
        <xdr:cNvPr id="838413" name="Picture 182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81600" y="3505200"/>
          <a:ext cx="11239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13</xdr:row>
      <xdr:rowOff>238125</xdr:rowOff>
    </xdr:from>
    <xdr:to>
      <xdr:col>4</xdr:col>
      <xdr:colOff>581025</xdr:colOff>
      <xdr:row>13</xdr:row>
      <xdr:rowOff>666750</xdr:rowOff>
    </xdr:to>
    <xdr:pic>
      <xdr:nvPicPr>
        <xdr:cNvPr id="838414" name="Picture 1960"/>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476750" y="3581400"/>
          <a:ext cx="466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657225</xdr:colOff>
      <xdr:row>18</xdr:row>
      <xdr:rowOff>104775</xdr:rowOff>
    </xdr:from>
    <xdr:to>
      <xdr:col>10</xdr:col>
      <xdr:colOff>838200</xdr:colOff>
      <xdr:row>19</xdr:row>
      <xdr:rowOff>57150</xdr:rowOff>
    </xdr:to>
    <xdr:pic>
      <xdr:nvPicPr>
        <xdr:cNvPr id="838415" name="Picture 329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639300" y="5962650"/>
          <a:ext cx="1809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533400</xdr:colOff>
      <xdr:row>20</xdr:row>
      <xdr:rowOff>38100</xdr:rowOff>
    </xdr:from>
    <xdr:to>
      <xdr:col>10</xdr:col>
      <xdr:colOff>933450</xdr:colOff>
      <xdr:row>21</xdr:row>
      <xdr:rowOff>104775</xdr:rowOff>
    </xdr:to>
    <xdr:pic>
      <xdr:nvPicPr>
        <xdr:cNvPr id="838416" name="Picture 329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515475" y="6429375"/>
          <a:ext cx="4000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628650</xdr:colOff>
      <xdr:row>22</xdr:row>
      <xdr:rowOff>57150</xdr:rowOff>
    </xdr:from>
    <xdr:to>
      <xdr:col>10</xdr:col>
      <xdr:colOff>904875</xdr:colOff>
      <xdr:row>23</xdr:row>
      <xdr:rowOff>123825</xdr:rowOff>
    </xdr:to>
    <xdr:pic>
      <xdr:nvPicPr>
        <xdr:cNvPr id="838417" name="Picture 3297"/>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610725" y="6838950"/>
          <a:ext cx="2762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66675</xdr:colOff>
      <xdr:row>13</xdr:row>
      <xdr:rowOff>381000</xdr:rowOff>
    </xdr:from>
    <xdr:to>
      <xdr:col>11</xdr:col>
      <xdr:colOff>904875</xdr:colOff>
      <xdr:row>13</xdr:row>
      <xdr:rowOff>838200</xdr:rowOff>
    </xdr:to>
    <xdr:pic>
      <xdr:nvPicPr>
        <xdr:cNvPr id="838418" name="Picture 2"/>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801350" y="3724275"/>
          <a:ext cx="838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104775</xdr:colOff>
      <xdr:row>14</xdr:row>
      <xdr:rowOff>219075</xdr:rowOff>
    </xdr:from>
    <xdr:to>
      <xdr:col>11</xdr:col>
      <xdr:colOff>962025</xdr:colOff>
      <xdr:row>15</xdr:row>
      <xdr:rowOff>228600</xdr:rowOff>
    </xdr:to>
    <xdr:pic>
      <xdr:nvPicPr>
        <xdr:cNvPr id="838419" name="Picture 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9450" y="4695825"/>
          <a:ext cx="857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200025</xdr:colOff>
      <xdr:row>13</xdr:row>
      <xdr:rowOff>390525</xdr:rowOff>
    </xdr:from>
    <xdr:to>
      <xdr:col>15</xdr:col>
      <xdr:colOff>95250</xdr:colOff>
      <xdr:row>13</xdr:row>
      <xdr:rowOff>857250</xdr:rowOff>
    </xdr:to>
    <xdr:pic>
      <xdr:nvPicPr>
        <xdr:cNvPr id="838420" name="Picture 4"/>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2973050" y="3733800"/>
          <a:ext cx="11620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276225</xdr:colOff>
      <xdr:row>14</xdr:row>
      <xdr:rowOff>180975</xdr:rowOff>
    </xdr:from>
    <xdr:to>
      <xdr:col>15</xdr:col>
      <xdr:colOff>180975</xdr:colOff>
      <xdr:row>15</xdr:row>
      <xdr:rowOff>238125</xdr:rowOff>
    </xdr:to>
    <xdr:pic>
      <xdr:nvPicPr>
        <xdr:cNvPr id="838421" name="Picture 8"/>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3049250" y="4686300"/>
          <a:ext cx="1171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628650</xdr:colOff>
      <xdr:row>17</xdr:row>
      <xdr:rowOff>38100</xdr:rowOff>
    </xdr:from>
    <xdr:to>
      <xdr:col>10</xdr:col>
      <xdr:colOff>876300</xdr:colOff>
      <xdr:row>17</xdr:row>
      <xdr:rowOff>342900</xdr:rowOff>
    </xdr:to>
    <xdr:pic>
      <xdr:nvPicPr>
        <xdr:cNvPr id="838422" name="Picture 1479"/>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610725" y="5524500"/>
          <a:ext cx="2476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1028700</xdr:colOff>
      <xdr:row>20</xdr:row>
      <xdr:rowOff>0</xdr:rowOff>
    </xdr:from>
    <xdr:to>
      <xdr:col>10</xdr:col>
      <xdr:colOff>1028700</xdr:colOff>
      <xdr:row>22</xdr:row>
      <xdr:rowOff>0</xdr:rowOff>
    </xdr:to>
    <xdr:pic>
      <xdr:nvPicPr>
        <xdr:cNvPr id="825149" name="Picture 7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58425" y="4371975"/>
          <a:ext cx="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66675</xdr:colOff>
      <xdr:row>5</xdr:row>
      <xdr:rowOff>28575</xdr:rowOff>
    </xdr:from>
    <xdr:to>
      <xdr:col>0</xdr:col>
      <xdr:colOff>1123950</xdr:colOff>
      <xdr:row>7</xdr:row>
      <xdr:rowOff>333375</xdr:rowOff>
    </xdr:to>
    <xdr:pic>
      <xdr:nvPicPr>
        <xdr:cNvPr id="825150" name="Picture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971550"/>
          <a:ext cx="10572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13</xdr:row>
      <xdr:rowOff>180975</xdr:rowOff>
    </xdr:from>
    <xdr:to>
      <xdr:col>0</xdr:col>
      <xdr:colOff>1123950</xdr:colOff>
      <xdr:row>16</xdr:row>
      <xdr:rowOff>200025</xdr:rowOff>
    </xdr:to>
    <xdr:pic>
      <xdr:nvPicPr>
        <xdr:cNvPr id="825151" name="Picture 1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3086100"/>
          <a:ext cx="10001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21</xdr:row>
      <xdr:rowOff>323850</xdr:rowOff>
    </xdr:from>
    <xdr:to>
      <xdr:col>0</xdr:col>
      <xdr:colOff>1228725</xdr:colOff>
      <xdr:row>22</xdr:row>
      <xdr:rowOff>104775</xdr:rowOff>
    </xdr:to>
    <xdr:pic>
      <xdr:nvPicPr>
        <xdr:cNvPr id="825152" name="Picture 2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5019675"/>
          <a:ext cx="12192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371475</xdr:colOff>
      <xdr:row>30</xdr:row>
      <xdr:rowOff>38100</xdr:rowOff>
    </xdr:from>
    <xdr:to>
      <xdr:col>0</xdr:col>
      <xdr:colOff>819150</xdr:colOff>
      <xdr:row>31</xdr:row>
      <xdr:rowOff>285750</xdr:rowOff>
    </xdr:to>
    <xdr:pic>
      <xdr:nvPicPr>
        <xdr:cNvPr id="825153" name="Picture 2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1475" y="8429625"/>
          <a:ext cx="4476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32</xdr:row>
      <xdr:rowOff>76200</xdr:rowOff>
    </xdr:from>
    <xdr:to>
      <xdr:col>0</xdr:col>
      <xdr:colOff>828675</xdr:colOff>
      <xdr:row>33</xdr:row>
      <xdr:rowOff>304800</xdr:rowOff>
    </xdr:to>
    <xdr:pic>
      <xdr:nvPicPr>
        <xdr:cNvPr id="825154" name="Picture 2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1950" y="9305925"/>
          <a:ext cx="4667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34</xdr:row>
      <xdr:rowOff>161925</xdr:rowOff>
    </xdr:from>
    <xdr:to>
      <xdr:col>0</xdr:col>
      <xdr:colOff>1038225</xdr:colOff>
      <xdr:row>35</xdr:row>
      <xdr:rowOff>200025</xdr:rowOff>
    </xdr:to>
    <xdr:pic>
      <xdr:nvPicPr>
        <xdr:cNvPr id="825155" name="Picture 2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0500" y="10134600"/>
          <a:ext cx="847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36</xdr:row>
      <xdr:rowOff>38100</xdr:rowOff>
    </xdr:from>
    <xdr:to>
      <xdr:col>0</xdr:col>
      <xdr:colOff>1038225</xdr:colOff>
      <xdr:row>36</xdr:row>
      <xdr:rowOff>552450</xdr:rowOff>
    </xdr:to>
    <xdr:pic>
      <xdr:nvPicPr>
        <xdr:cNvPr id="825156" name="Picture 3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0500" y="10734675"/>
          <a:ext cx="8477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200025</xdr:colOff>
      <xdr:row>21</xdr:row>
      <xdr:rowOff>57150</xdr:rowOff>
    </xdr:from>
    <xdr:to>
      <xdr:col>10</xdr:col>
      <xdr:colOff>857250</xdr:colOff>
      <xdr:row>22</xdr:row>
      <xdr:rowOff>85725</xdr:rowOff>
    </xdr:to>
    <xdr:pic>
      <xdr:nvPicPr>
        <xdr:cNvPr id="825157" name="Picture 3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429750" y="4752975"/>
          <a:ext cx="6572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xdr:colOff>
      <xdr:row>23</xdr:row>
      <xdr:rowOff>19050</xdr:rowOff>
    </xdr:from>
    <xdr:to>
      <xdr:col>10</xdr:col>
      <xdr:colOff>1047750</xdr:colOff>
      <xdr:row>25</xdr:row>
      <xdr:rowOff>190500</xdr:rowOff>
    </xdr:to>
    <xdr:pic>
      <xdr:nvPicPr>
        <xdr:cNvPr id="825158" name="Picture 3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258300" y="6257925"/>
          <a:ext cx="10191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295275</xdr:colOff>
      <xdr:row>5</xdr:row>
      <xdr:rowOff>57150</xdr:rowOff>
    </xdr:from>
    <xdr:to>
      <xdr:col>10</xdr:col>
      <xdr:colOff>752475</xdr:colOff>
      <xdr:row>8</xdr:row>
      <xdr:rowOff>104775</xdr:rowOff>
    </xdr:to>
    <xdr:pic>
      <xdr:nvPicPr>
        <xdr:cNvPr id="825159" name="Picture 609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525000" y="1000125"/>
          <a:ext cx="4572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xdr:colOff>
      <xdr:row>13</xdr:row>
      <xdr:rowOff>190500</xdr:rowOff>
    </xdr:from>
    <xdr:to>
      <xdr:col>10</xdr:col>
      <xdr:colOff>1047750</xdr:colOff>
      <xdr:row>16</xdr:row>
      <xdr:rowOff>47625</xdr:rowOff>
    </xdr:to>
    <xdr:pic>
      <xdr:nvPicPr>
        <xdr:cNvPr id="825160" name="Picture 6151"/>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267825" y="3095625"/>
          <a:ext cx="1009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24</xdr:row>
      <xdr:rowOff>76200</xdr:rowOff>
    </xdr:from>
    <xdr:to>
      <xdr:col>0</xdr:col>
      <xdr:colOff>1114425</xdr:colOff>
      <xdr:row>26</xdr:row>
      <xdr:rowOff>66675</xdr:rowOff>
    </xdr:to>
    <xdr:pic>
      <xdr:nvPicPr>
        <xdr:cNvPr id="825161" name="Picture 176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1925" y="6543675"/>
          <a:ext cx="9525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27</xdr:row>
      <xdr:rowOff>161925</xdr:rowOff>
    </xdr:from>
    <xdr:to>
      <xdr:col>0</xdr:col>
      <xdr:colOff>1000125</xdr:colOff>
      <xdr:row>27</xdr:row>
      <xdr:rowOff>381000</xdr:rowOff>
    </xdr:to>
    <xdr:pic>
      <xdr:nvPicPr>
        <xdr:cNvPr id="825162" name="Picture 9193"/>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7400925"/>
          <a:ext cx="9048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190500</xdr:colOff>
      <xdr:row>21</xdr:row>
      <xdr:rowOff>2931</xdr:rowOff>
    </xdr:from>
    <xdr:to>
      <xdr:col>16</xdr:col>
      <xdr:colOff>359019</xdr:colOff>
      <xdr:row>21</xdr:row>
      <xdr:rowOff>3254</xdr:rowOff>
    </xdr:to>
    <xdr:sp macro="" textlink="">
      <xdr:nvSpPr>
        <xdr:cNvPr id="2" name="PIJL-LINKS en -RECHTS 912">
          <a:extLst/>
        </xdr:cNvPr>
        <xdr:cNvSpPr/>
      </xdr:nvSpPr>
      <xdr:spPr>
        <a:xfrm>
          <a:off x="10972800" y="5232156"/>
          <a:ext cx="168519" cy="323"/>
        </a:xfrm>
        <a:prstGeom prst="lef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ru-RU"/>
        </a:p>
      </xdr:txBody>
    </xdr:sp>
    <xdr:clientData/>
  </xdr:twoCellAnchor>
  <xdr:twoCellAnchor>
    <xdr:from>
      <xdr:col>16</xdr:col>
      <xdr:colOff>190500</xdr:colOff>
      <xdr:row>21</xdr:row>
      <xdr:rowOff>2931</xdr:rowOff>
    </xdr:from>
    <xdr:to>
      <xdr:col>16</xdr:col>
      <xdr:colOff>359019</xdr:colOff>
      <xdr:row>21</xdr:row>
      <xdr:rowOff>3254</xdr:rowOff>
    </xdr:to>
    <xdr:sp macro="" textlink="">
      <xdr:nvSpPr>
        <xdr:cNvPr id="3" name="PIJL-LINKS en -RECHTS 918">
          <a:extLst/>
        </xdr:cNvPr>
        <xdr:cNvSpPr/>
      </xdr:nvSpPr>
      <xdr:spPr>
        <a:xfrm>
          <a:off x="10972800" y="5232156"/>
          <a:ext cx="168519" cy="323"/>
        </a:xfrm>
        <a:prstGeom prst="lef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ru-RU"/>
        </a:p>
      </xdr:txBody>
    </xdr:sp>
    <xdr:clientData/>
  </xdr:twoCellAnchor>
  <xdr:twoCellAnchor>
    <xdr:from>
      <xdr:col>17</xdr:col>
      <xdr:colOff>57150</xdr:colOff>
      <xdr:row>20</xdr:row>
      <xdr:rowOff>0</xdr:rowOff>
    </xdr:from>
    <xdr:to>
      <xdr:col>17</xdr:col>
      <xdr:colOff>266700</xdr:colOff>
      <xdr:row>20</xdr:row>
      <xdr:rowOff>0</xdr:rowOff>
    </xdr:to>
    <xdr:sp macro="" textlink="">
      <xdr:nvSpPr>
        <xdr:cNvPr id="855591" name="PIJL-OMLAAG 931"/>
        <xdr:cNvSpPr>
          <a:spLocks noChangeArrowheads="1"/>
        </xdr:cNvSpPr>
      </xdr:nvSpPr>
      <xdr:spPr bwMode="auto">
        <a:xfrm>
          <a:off x="11439525" y="4895850"/>
          <a:ext cx="209550" cy="0"/>
        </a:xfrm>
        <a:prstGeom prst="downArrow">
          <a:avLst>
            <a:gd name="adj1" fmla="val 50000"/>
            <a:gd name="adj2" fmla="val -2147483648"/>
          </a:avLst>
        </a:prstGeom>
        <a:solidFill>
          <a:srgbClr val="000000"/>
        </a:solidFill>
        <a:ln>
          <a:noFill/>
        </a:ln>
        <a:extLst>
          <a:ext uri="{91240B29-F687-4F45-9708-019B960494DF}">
            <a14:hiddenLine xmlns:a14="http://schemas.microsoft.com/office/drawing/2010/main" w="25400" algn="ctr">
              <a:solidFill>
                <a:srgbClr val="000000"/>
              </a:solidFill>
              <a:miter lim="800000"/>
              <a:headEnd/>
              <a:tailEnd/>
            </a14:hiddenLine>
          </a:ext>
        </a:extLst>
      </xdr:spPr>
    </xdr:sp>
    <xdr:clientData/>
  </xdr:twoCellAnchor>
  <xdr:twoCellAnchor>
    <xdr:from>
      <xdr:col>18</xdr:col>
      <xdr:colOff>47625</xdr:colOff>
      <xdr:row>19</xdr:row>
      <xdr:rowOff>57150</xdr:rowOff>
    </xdr:from>
    <xdr:to>
      <xdr:col>18</xdr:col>
      <xdr:colOff>285750</xdr:colOff>
      <xdr:row>19</xdr:row>
      <xdr:rowOff>666750</xdr:rowOff>
    </xdr:to>
    <xdr:sp macro="" textlink="">
      <xdr:nvSpPr>
        <xdr:cNvPr id="855592" name="PIJL-LINKS en -RECHTS 932"/>
        <xdr:cNvSpPr>
          <a:spLocks noChangeArrowheads="1"/>
        </xdr:cNvSpPr>
      </xdr:nvSpPr>
      <xdr:spPr bwMode="auto">
        <a:xfrm rot="-5400000">
          <a:off x="12001500" y="4638675"/>
          <a:ext cx="276225" cy="238125"/>
        </a:xfrm>
        <a:prstGeom prst="leftRightArrow">
          <a:avLst>
            <a:gd name="adj1" fmla="val 50000"/>
            <a:gd name="adj2" fmla="val 19827"/>
          </a:avLst>
        </a:prstGeom>
        <a:solidFill>
          <a:srgbClr val="000000"/>
        </a:solidFill>
        <a:ln>
          <a:noFill/>
        </a:ln>
        <a:extLst>
          <a:ext uri="{91240B29-F687-4F45-9708-019B960494DF}">
            <a14:hiddenLine xmlns:a14="http://schemas.microsoft.com/office/drawing/2010/main" w="25400" algn="ctr">
              <a:solidFill>
                <a:srgbClr val="000000"/>
              </a:solidFill>
              <a:miter lim="800000"/>
              <a:headEnd/>
              <a:tailEnd/>
            </a14:hiddenLine>
          </a:ext>
        </a:extLst>
      </xdr:spPr>
    </xdr:sp>
    <xdr:clientData/>
  </xdr:twoCellAnchor>
  <xdr:twoCellAnchor>
    <xdr:from>
      <xdr:col>18</xdr:col>
      <xdr:colOff>47625</xdr:colOff>
      <xdr:row>21</xdr:row>
      <xdr:rowOff>0</xdr:rowOff>
    </xdr:from>
    <xdr:to>
      <xdr:col>18</xdr:col>
      <xdr:colOff>285750</xdr:colOff>
      <xdr:row>21</xdr:row>
      <xdr:rowOff>0</xdr:rowOff>
    </xdr:to>
    <xdr:sp macro="" textlink="">
      <xdr:nvSpPr>
        <xdr:cNvPr id="855593" name="PIJL-LINKS en -RECHTS 933"/>
        <xdr:cNvSpPr>
          <a:spLocks noChangeArrowheads="1"/>
        </xdr:cNvSpPr>
      </xdr:nvSpPr>
      <xdr:spPr bwMode="auto">
        <a:xfrm rot="-5400000">
          <a:off x="12139613" y="5110162"/>
          <a:ext cx="0" cy="238125"/>
        </a:xfrm>
        <a:prstGeom prst="leftRightArrow">
          <a:avLst>
            <a:gd name="adj1" fmla="val 50000"/>
            <a:gd name="adj2" fmla="val -2147483648"/>
          </a:avLst>
        </a:prstGeom>
        <a:solidFill>
          <a:srgbClr val="000000"/>
        </a:solidFill>
        <a:ln>
          <a:noFill/>
        </a:ln>
        <a:extLst>
          <a:ext uri="{91240B29-F687-4F45-9708-019B960494DF}">
            <a14:hiddenLine xmlns:a14="http://schemas.microsoft.com/office/drawing/2010/main" w="25400" algn="ctr">
              <a:solidFill>
                <a:srgbClr val="000000"/>
              </a:solidFill>
              <a:miter lim="800000"/>
              <a:headEnd/>
              <a:tailEnd/>
            </a14:hiddenLine>
          </a:ext>
        </a:extLst>
      </xdr:spPr>
    </xdr:sp>
    <xdr:clientData/>
  </xdr:twoCellAnchor>
  <xdr:twoCellAnchor>
    <xdr:from>
      <xdr:col>16</xdr:col>
      <xdr:colOff>190500</xdr:colOff>
      <xdr:row>21</xdr:row>
      <xdr:rowOff>2931</xdr:rowOff>
    </xdr:from>
    <xdr:to>
      <xdr:col>16</xdr:col>
      <xdr:colOff>359019</xdr:colOff>
      <xdr:row>21</xdr:row>
      <xdr:rowOff>3254</xdr:rowOff>
    </xdr:to>
    <xdr:sp macro="" textlink="">
      <xdr:nvSpPr>
        <xdr:cNvPr id="7" name="PIJL-LINKS en -RECHTS 934">
          <a:extLst/>
        </xdr:cNvPr>
        <xdr:cNvSpPr/>
      </xdr:nvSpPr>
      <xdr:spPr>
        <a:xfrm>
          <a:off x="10972800" y="5232156"/>
          <a:ext cx="168519" cy="323"/>
        </a:xfrm>
        <a:prstGeom prst="lef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ru-RU"/>
        </a:p>
      </xdr:txBody>
    </xdr:sp>
    <xdr:clientData/>
  </xdr:twoCellAnchor>
  <xdr:twoCellAnchor>
    <xdr:from>
      <xdr:col>18</xdr:col>
      <xdr:colOff>66675</xdr:colOff>
      <xdr:row>23</xdr:row>
      <xdr:rowOff>57150</xdr:rowOff>
    </xdr:from>
    <xdr:to>
      <xdr:col>18</xdr:col>
      <xdr:colOff>247650</xdr:colOff>
      <xdr:row>23</xdr:row>
      <xdr:rowOff>704850</xdr:rowOff>
    </xdr:to>
    <xdr:sp macro="" textlink="">
      <xdr:nvSpPr>
        <xdr:cNvPr id="855595" name="PIJL-LINKS en -RECHTS 1006"/>
        <xdr:cNvSpPr>
          <a:spLocks noChangeArrowheads="1"/>
        </xdr:cNvSpPr>
      </xdr:nvSpPr>
      <xdr:spPr bwMode="auto">
        <a:xfrm rot="-5400000">
          <a:off x="11896725" y="6172200"/>
          <a:ext cx="466725" cy="180975"/>
        </a:xfrm>
        <a:prstGeom prst="leftRightArrow">
          <a:avLst>
            <a:gd name="adj1" fmla="val 50000"/>
            <a:gd name="adj2" fmla="val 35675"/>
          </a:avLst>
        </a:prstGeom>
        <a:solidFill>
          <a:srgbClr val="000000"/>
        </a:solidFill>
        <a:ln>
          <a:noFill/>
        </a:ln>
        <a:extLst>
          <a:ext uri="{91240B29-F687-4F45-9708-019B960494DF}">
            <a14:hiddenLine xmlns:a14="http://schemas.microsoft.com/office/drawing/2010/main" w="25400" algn="ctr">
              <a:solidFill>
                <a:srgbClr val="000000"/>
              </a:solidFill>
              <a:miter lim="800000"/>
              <a:headEnd/>
              <a:tailEnd/>
            </a14:hiddenLine>
          </a:ext>
        </a:extLst>
      </xdr:spPr>
    </xdr:sp>
    <xdr:clientData/>
  </xdr:twoCellAnchor>
  <xdr:twoCellAnchor>
    <xdr:from>
      <xdr:col>18</xdr:col>
      <xdr:colOff>66675</xdr:colOff>
      <xdr:row>24</xdr:row>
      <xdr:rowOff>0</xdr:rowOff>
    </xdr:from>
    <xdr:to>
      <xdr:col>18</xdr:col>
      <xdr:colOff>247650</xdr:colOff>
      <xdr:row>24</xdr:row>
      <xdr:rowOff>0</xdr:rowOff>
    </xdr:to>
    <xdr:sp macro="" textlink="">
      <xdr:nvSpPr>
        <xdr:cNvPr id="855596" name="PIJL-LINKS en -RECHTS 1007"/>
        <xdr:cNvSpPr>
          <a:spLocks noChangeArrowheads="1"/>
        </xdr:cNvSpPr>
      </xdr:nvSpPr>
      <xdr:spPr bwMode="auto">
        <a:xfrm rot="-5400000">
          <a:off x="12130088" y="6405562"/>
          <a:ext cx="0" cy="180975"/>
        </a:xfrm>
        <a:prstGeom prst="leftRightArrow">
          <a:avLst>
            <a:gd name="adj1" fmla="val 50000"/>
            <a:gd name="adj2" fmla="val -2147483648"/>
          </a:avLst>
        </a:prstGeom>
        <a:solidFill>
          <a:srgbClr val="000000"/>
        </a:solidFill>
        <a:ln>
          <a:noFill/>
        </a:ln>
        <a:extLst>
          <a:ext uri="{91240B29-F687-4F45-9708-019B960494DF}">
            <a14:hiddenLine xmlns:a14="http://schemas.microsoft.com/office/drawing/2010/main" w="25400" algn="ctr">
              <a:solidFill>
                <a:srgbClr val="000000"/>
              </a:solidFill>
              <a:miter lim="800000"/>
              <a:headEnd/>
              <a:tailEnd/>
            </a14:hiddenLine>
          </a:ext>
        </a:extLst>
      </xdr:spPr>
    </xdr:sp>
    <xdr:clientData/>
  </xdr:twoCellAnchor>
  <xdr:twoCellAnchor>
    <xdr:from>
      <xdr:col>16</xdr:col>
      <xdr:colOff>190500</xdr:colOff>
      <xdr:row>27</xdr:row>
      <xdr:rowOff>2931</xdr:rowOff>
    </xdr:from>
    <xdr:to>
      <xdr:col>16</xdr:col>
      <xdr:colOff>359019</xdr:colOff>
      <xdr:row>27</xdr:row>
      <xdr:rowOff>3254</xdr:rowOff>
    </xdr:to>
    <xdr:sp macro="" textlink="">
      <xdr:nvSpPr>
        <xdr:cNvPr id="10" name="PIJL-LINKS en -RECHTS 815">
          <a:extLst/>
        </xdr:cNvPr>
        <xdr:cNvSpPr/>
      </xdr:nvSpPr>
      <xdr:spPr>
        <a:xfrm>
          <a:off x="10972800" y="7832481"/>
          <a:ext cx="168519" cy="323"/>
        </a:xfrm>
        <a:prstGeom prst="lef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ru-RU"/>
        </a:p>
      </xdr:txBody>
    </xdr:sp>
    <xdr:clientData/>
  </xdr:twoCellAnchor>
  <xdr:twoCellAnchor>
    <xdr:from>
      <xdr:col>16</xdr:col>
      <xdr:colOff>190500</xdr:colOff>
      <xdr:row>27</xdr:row>
      <xdr:rowOff>2931</xdr:rowOff>
    </xdr:from>
    <xdr:to>
      <xdr:col>16</xdr:col>
      <xdr:colOff>359019</xdr:colOff>
      <xdr:row>27</xdr:row>
      <xdr:rowOff>3254</xdr:rowOff>
    </xdr:to>
    <xdr:sp macro="" textlink="">
      <xdr:nvSpPr>
        <xdr:cNvPr id="11" name="PIJL-LINKS en -RECHTS 816">
          <a:extLst/>
        </xdr:cNvPr>
        <xdr:cNvSpPr/>
      </xdr:nvSpPr>
      <xdr:spPr>
        <a:xfrm>
          <a:off x="10972800" y="7832481"/>
          <a:ext cx="168519" cy="323"/>
        </a:xfrm>
        <a:prstGeom prst="lef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ru-RU"/>
        </a:p>
      </xdr:txBody>
    </xdr:sp>
    <xdr:clientData/>
  </xdr:twoCellAnchor>
  <xdr:twoCellAnchor>
    <xdr:from>
      <xdr:col>16</xdr:col>
      <xdr:colOff>190500</xdr:colOff>
      <xdr:row>27</xdr:row>
      <xdr:rowOff>2931</xdr:rowOff>
    </xdr:from>
    <xdr:to>
      <xdr:col>16</xdr:col>
      <xdr:colOff>359019</xdr:colOff>
      <xdr:row>27</xdr:row>
      <xdr:rowOff>3254</xdr:rowOff>
    </xdr:to>
    <xdr:sp macro="" textlink="">
      <xdr:nvSpPr>
        <xdr:cNvPr id="12" name="PIJL-LINKS en -RECHTS 817">
          <a:extLst/>
        </xdr:cNvPr>
        <xdr:cNvSpPr/>
      </xdr:nvSpPr>
      <xdr:spPr>
        <a:xfrm>
          <a:off x="10972800" y="7832481"/>
          <a:ext cx="168519" cy="323"/>
        </a:xfrm>
        <a:prstGeom prst="lef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ru-RU"/>
        </a:p>
      </xdr:txBody>
    </xdr:sp>
    <xdr:clientData/>
  </xdr:twoCellAnchor>
  <xdr:twoCellAnchor editAs="oneCell">
    <xdr:from>
      <xdr:col>1</xdr:col>
      <xdr:colOff>123825</xdr:colOff>
      <xdr:row>5</xdr:row>
      <xdr:rowOff>238125</xdr:rowOff>
    </xdr:from>
    <xdr:to>
      <xdr:col>1</xdr:col>
      <xdr:colOff>1133475</xdr:colOff>
      <xdr:row>8</xdr:row>
      <xdr:rowOff>142875</xdr:rowOff>
    </xdr:to>
    <xdr:pic>
      <xdr:nvPicPr>
        <xdr:cNvPr id="855600" name="Afbeelding 948" descr="LAKQ U2.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3475" y="1143000"/>
          <a:ext cx="10096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10</xdr:row>
      <xdr:rowOff>180975</xdr:rowOff>
    </xdr:from>
    <xdr:to>
      <xdr:col>1</xdr:col>
      <xdr:colOff>923925</xdr:colOff>
      <xdr:row>14</xdr:row>
      <xdr:rowOff>142875</xdr:rowOff>
    </xdr:to>
    <xdr:pic>
      <xdr:nvPicPr>
        <xdr:cNvPr id="855601" name="Afbeelding 1025" descr="LEKQ U4.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1125" y="2400300"/>
          <a:ext cx="5524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16</xdr:row>
      <xdr:rowOff>28575</xdr:rowOff>
    </xdr:from>
    <xdr:to>
      <xdr:col>1</xdr:col>
      <xdr:colOff>981075</xdr:colOff>
      <xdr:row>18</xdr:row>
      <xdr:rowOff>190500</xdr:rowOff>
    </xdr:to>
    <xdr:pic>
      <xdr:nvPicPr>
        <xdr:cNvPr id="855602" name="Afbeelding 1029" descr="LAKZ P1.pn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0" y="3743325"/>
          <a:ext cx="7524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21</xdr:row>
      <xdr:rowOff>152400</xdr:rowOff>
    </xdr:from>
    <xdr:to>
      <xdr:col>1</xdr:col>
      <xdr:colOff>419100</xdr:colOff>
      <xdr:row>23</xdr:row>
      <xdr:rowOff>209550</xdr:rowOff>
    </xdr:to>
    <xdr:pic>
      <xdr:nvPicPr>
        <xdr:cNvPr id="855603" name="Afbeelding 1042" descr="HYBRID 6060.pn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2525" y="5381625"/>
          <a:ext cx="2762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31</xdr:row>
      <xdr:rowOff>314325</xdr:rowOff>
    </xdr:from>
    <xdr:to>
      <xdr:col>1</xdr:col>
      <xdr:colOff>876300</xdr:colOff>
      <xdr:row>36</xdr:row>
      <xdr:rowOff>28575</xdr:rowOff>
    </xdr:to>
    <xdr:pic>
      <xdr:nvPicPr>
        <xdr:cNvPr id="855604" name="Afbeelding 1088" descr="LSKZ U2.pn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95400" y="8791575"/>
          <a:ext cx="5905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76200</xdr:colOff>
      <xdr:row>19</xdr:row>
      <xdr:rowOff>38100</xdr:rowOff>
    </xdr:from>
    <xdr:to>
      <xdr:col>17</xdr:col>
      <xdr:colOff>285750</xdr:colOff>
      <xdr:row>19</xdr:row>
      <xdr:rowOff>647700</xdr:rowOff>
    </xdr:to>
    <xdr:sp macro="" textlink="">
      <xdr:nvSpPr>
        <xdr:cNvPr id="855605" name="PIJL-OMLAAG 931"/>
        <xdr:cNvSpPr>
          <a:spLocks noChangeArrowheads="1"/>
        </xdr:cNvSpPr>
      </xdr:nvSpPr>
      <xdr:spPr bwMode="auto">
        <a:xfrm>
          <a:off x="11458575" y="4600575"/>
          <a:ext cx="209550" cy="295275"/>
        </a:xfrm>
        <a:prstGeom prst="downArrow">
          <a:avLst>
            <a:gd name="adj1" fmla="val 50000"/>
            <a:gd name="adj2" fmla="val 22787"/>
          </a:avLst>
        </a:prstGeom>
        <a:solidFill>
          <a:srgbClr val="000000"/>
        </a:solidFill>
        <a:ln>
          <a:noFill/>
        </a:ln>
        <a:extLst>
          <a:ext uri="{91240B29-F687-4F45-9708-019B960494DF}">
            <a14:hiddenLine xmlns:a14="http://schemas.microsoft.com/office/drawing/2010/main" w="25400" algn="ctr">
              <a:solidFill>
                <a:srgbClr val="000000"/>
              </a:solidFill>
              <a:miter lim="800000"/>
              <a:headEnd/>
              <a:tailEnd/>
            </a14:hiddenLine>
          </a:ext>
        </a:extLst>
      </xdr:spPr>
    </xdr:sp>
    <xdr:clientData/>
  </xdr:twoCellAnchor>
  <xdr:twoCellAnchor editAs="oneCell">
    <xdr:from>
      <xdr:col>1</xdr:col>
      <xdr:colOff>609600</xdr:colOff>
      <xdr:row>21</xdr:row>
      <xdr:rowOff>152400</xdr:rowOff>
    </xdr:from>
    <xdr:to>
      <xdr:col>1</xdr:col>
      <xdr:colOff>1143000</xdr:colOff>
      <xdr:row>23</xdr:row>
      <xdr:rowOff>285750</xdr:rowOff>
    </xdr:to>
    <xdr:pic>
      <xdr:nvPicPr>
        <xdr:cNvPr id="855606" name="Afbeelding 1082" descr="SHKM.pn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9250" y="5381625"/>
          <a:ext cx="5334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26</xdr:row>
      <xdr:rowOff>190500</xdr:rowOff>
    </xdr:from>
    <xdr:to>
      <xdr:col>3</xdr:col>
      <xdr:colOff>0</xdr:colOff>
      <xdr:row>26</xdr:row>
      <xdr:rowOff>781050</xdr:rowOff>
    </xdr:to>
    <xdr:sp macro="" textlink="">
      <xdr:nvSpPr>
        <xdr:cNvPr id="855607" name="Text Box 81"/>
        <xdr:cNvSpPr txBox="1">
          <a:spLocks noChangeArrowheads="1"/>
        </xdr:cNvSpPr>
      </xdr:nvSpPr>
      <xdr:spPr bwMode="auto">
        <a:xfrm>
          <a:off x="3429000" y="7477125"/>
          <a:ext cx="0" cy="352425"/>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1847850</xdr:colOff>
      <xdr:row>26</xdr:row>
      <xdr:rowOff>57150</xdr:rowOff>
    </xdr:from>
    <xdr:to>
      <xdr:col>2</xdr:col>
      <xdr:colOff>9525</xdr:colOff>
      <xdr:row>28</xdr:row>
      <xdr:rowOff>114300</xdr:rowOff>
    </xdr:to>
    <xdr:pic>
      <xdr:nvPicPr>
        <xdr:cNvPr id="855608" name="Рисунок 2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28850" y="7343775"/>
          <a:ext cx="9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26</xdr:row>
      <xdr:rowOff>104775</xdr:rowOff>
    </xdr:from>
    <xdr:to>
      <xdr:col>1</xdr:col>
      <xdr:colOff>1057275</xdr:colOff>
      <xdr:row>30</xdr:row>
      <xdr:rowOff>28575</xdr:rowOff>
    </xdr:to>
    <xdr:pic>
      <xdr:nvPicPr>
        <xdr:cNvPr id="855609" name="Picture 62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14425" y="7391400"/>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247650</xdr:colOff>
      <xdr:row>5</xdr:row>
      <xdr:rowOff>47625</xdr:rowOff>
    </xdr:from>
    <xdr:to>
      <xdr:col>14</xdr:col>
      <xdr:colOff>619125</xdr:colOff>
      <xdr:row>6</xdr:row>
      <xdr:rowOff>133350</xdr:rowOff>
    </xdr:to>
    <xdr:pic>
      <xdr:nvPicPr>
        <xdr:cNvPr id="855610" name="Picture 336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858250" y="952500"/>
          <a:ext cx="3714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7</xdr:row>
      <xdr:rowOff>28575</xdr:rowOff>
    </xdr:from>
    <xdr:to>
      <xdr:col>14</xdr:col>
      <xdr:colOff>904875</xdr:colOff>
      <xdr:row>8</xdr:row>
      <xdr:rowOff>180975</xdr:rowOff>
    </xdr:to>
    <xdr:pic>
      <xdr:nvPicPr>
        <xdr:cNvPr id="855611" name="Picture 336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686800" y="1485900"/>
          <a:ext cx="8286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238125</xdr:colOff>
      <xdr:row>9</xdr:row>
      <xdr:rowOff>28575</xdr:rowOff>
    </xdr:from>
    <xdr:to>
      <xdr:col>14</xdr:col>
      <xdr:colOff>619125</xdr:colOff>
      <xdr:row>10</xdr:row>
      <xdr:rowOff>161925</xdr:rowOff>
    </xdr:to>
    <xdr:pic>
      <xdr:nvPicPr>
        <xdr:cNvPr id="855612" name="Picture 336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848725" y="1924050"/>
          <a:ext cx="3810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238125</xdr:colOff>
      <xdr:row>11</xdr:row>
      <xdr:rowOff>38100</xdr:rowOff>
    </xdr:from>
    <xdr:to>
      <xdr:col>14</xdr:col>
      <xdr:colOff>619125</xdr:colOff>
      <xdr:row>12</xdr:row>
      <xdr:rowOff>161925</xdr:rowOff>
    </xdr:to>
    <xdr:pic>
      <xdr:nvPicPr>
        <xdr:cNvPr id="855613" name="Picture 336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848725" y="2457450"/>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200025</xdr:colOff>
      <xdr:row>13</xdr:row>
      <xdr:rowOff>142875</xdr:rowOff>
    </xdr:from>
    <xdr:to>
      <xdr:col>14</xdr:col>
      <xdr:colOff>676275</xdr:colOff>
      <xdr:row>14</xdr:row>
      <xdr:rowOff>266700</xdr:rowOff>
    </xdr:to>
    <xdr:pic>
      <xdr:nvPicPr>
        <xdr:cNvPr id="855614" name="Picture 3371"/>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810625" y="3000375"/>
          <a:ext cx="476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342900</xdr:colOff>
      <xdr:row>16</xdr:row>
      <xdr:rowOff>0</xdr:rowOff>
    </xdr:from>
    <xdr:to>
      <xdr:col>14</xdr:col>
      <xdr:colOff>628650</xdr:colOff>
      <xdr:row>17</xdr:row>
      <xdr:rowOff>123825</xdr:rowOff>
    </xdr:to>
    <xdr:pic>
      <xdr:nvPicPr>
        <xdr:cNvPr id="855615" name="Picture 3373"/>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953500" y="3714750"/>
          <a:ext cx="2857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266700</xdr:colOff>
      <xdr:row>19</xdr:row>
      <xdr:rowOff>57150</xdr:rowOff>
    </xdr:from>
    <xdr:to>
      <xdr:col>14</xdr:col>
      <xdr:colOff>552450</xdr:colOff>
      <xdr:row>20</xdr:row>
      <xdr:rowOff>314325</xdr:rowOff>
    </xdr:to>
    <xdr:pic>
      <xdr:nvPicPr>
        <xdr:cNvPr id="855616" name="Picture 337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877300" y="4619625"/>
          <a:ext cx="285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228600</xdr:colOff>
      <xdr:row>21</xdr:row>
      <xdr:rowOff>104775</xdr:rowOff>
    </xdr:from>
    <xdr:to>
      <xdr:col>14</xdr:col>
      <xdr:colOff>609600</xdr:colOff>
      <xdr:row>22</xdr:row>
      <xdr:rowOff>238125</xdr:rowOff>
    </xdr:to>
    <xdr:pic>
      <xdr:nvPicPr>
        <xdr:cNvPr id="855617" name="Picture 337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39200" y="5334000"/>
          <a:ext cx="3810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228600</xdr:colOff>
      <xdr:row>23</xdr:row>
      <xdr:rowOff>57150</xdr:rowOff>
    </xdr:from>
    <xdr:to>
      <xdr:col>14</xdr:col>
      <xdr:colOff>609600</xdr:colOff>
      <xdr:row>23</xdr:row>
      <xdr:rowOff>485775</xdr:rowOff>
    </xdr:to>
    <xdr:pic>
      <xdr:nvPicPr>
        <xdr:cNvPr id="855618" name="Picture 3379"/>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839200" y="6029325"/>
          <a:ext cx="3810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180975</xdr:colOff>
      <xdr:row>24</xdr:row>
      <xdr:rowOff>180975</xdr:rowOff>
    </xdr:from>
    <xdr:to>
      <xdr:col>14</xdr:col>
      <xdr:colOff>657225</xdr:colOff>
      <xdr:row>24</xdr:row>
      <xdr:rowOff>333375</xdr:rowOff>
    </xdr:to>
    <xdr:pic>
      <xdr:nvPicPr>
        <xdr:cNvPr id="855619" name="Picture 3381"/>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791575" y="6677025"/>
          <a:ext cx="4762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123825</xdr:colOff>
      <xdr:row>25</xdr:row>
      <xdr:rowOff>152400</xdr:rowOff>
    </xdr:from>
    <xdr:to>
      <xdr:col>14</xdr:col>
      <xdr:colOff>742950</xdr:colOff>
      <xdr:row>26</xdr:row>
      <xdr:rowOff>0</xdr:rowOff>
    </xdr:to>
    <xdr:pic>
      <xdr:nvPicPr>
        <xdr:cNvPr id="855620" name="Picture 338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734425" y="7058025"/>
          <a:ext cx="619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266700</xdr:colOff>
      <xdr:row>26</xdr:row>
      <xdr:rowOff>133350</xdr:rowOff>
    </xdr:from>
    <xdr:to>
      <xdr:col>14</xdr:col>
      <xdr:colOff>647700</xdr:colOff>
      <xdr:row>26</xdr:row>
      <xdr:rowOff>438150</xdr:rowOff>
    </xdr:to>
    <xdr:pic>
      <xdr:nvPicPr>
        <xdr:cNvPr id="855621" name="Picture 3387"/>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877300" y="7419975"/>
          <a:ext cx="3810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276225</xdr:colOff>
      <xdr:row>27</xdr:row>
      <xdr:rowOff>95250</xdr:rowOff>
    </xdr:from>
    <xdr:to>
      <xdr:col>14</xdr:col>
      <xdr:colOff>657225</xdr:colOff>
      <xdr:row>29</xdr:row>
      <xdr:rowOff>38100</xdr:rowOff>
    </xdr:to>
    <xdr:pic>
      <xdr:nvPicPr>
        <xdr:cNvPr id="855622" name="Picture 3389"/>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886825" y="7924800"/>
          <a:ext cx="381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1619250</xdr:colOff>
      <xdr:row>34</xdr:row>
      <xdr:rowOff>9525</xdr:rowOff>
    </xdr:from>
    <xdr:to>
      <xdr:col>6</xdr:col>
      <xdr:colOff>2752725</xdr:colOff>
      <xdr:row>37</xdr:row>
      <xdr:rowOff>114300</xdr:rowOff>
    </xdr:to>
    <xdr:pic>
      <xdr:nvPicPr>
        <xdr:cNvPr id="67640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82050" y="6172200"/>
          <a:ext cx="11334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1514475</xdr:colOff>
      <xdr:row>39</xdr:row>
      <xdr:rowOff>66675</xdr:rowOff>
    </xdr:from>
    <xdr:to>
      <xdr:col>6</xdr:col>
      <xdr:colOff>2781300</xdr:colOff>
      <xdr:row>43</xdr:row>
      <xdr:rowOff>104775</xdr:rowOff>
    </xdr:to>
    <xdr:pic>
      <xdr:nvPicPr>
        <xdr:cNvPr id="676404"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77275" y="7038975"/>
          <a:ext cx="12668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26</xdr:row>
      <xdr:rowOff>228600</xdr:rowOff>
    </xdr:from>
    <xdr:to>
      <xdr:col>0</xdr:col>
      <xdr:colOff>1085850</xdr:colOff>
      <xdr:row>30</xdr:row>
      <xdr:rowOff>57150</xdr:rowOff>
    </xdr:to>
    <xdr:pic>
      <xdr:nvPicPr>
        <xdr:cNvPr id="864349" name="Picture 41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8105775"/>
          <a:ext cx="9715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12</xdr:col>
      <xdr:colOff>447675</xdr:colOff>
      <xdr:row>11</xdr:row>
      <xdr:rowOff>171450</xdr:rowOff>
    </xdr:from>
    <xdr:to>
      <xdr:col>12</xdr:col>
      <xdr:colOff>1104900</xdr:colOff>
      <xdr:row>12</xdr:row>
      <xdr:rowOff>361950</xdr:rowOff>
    </xdr:to>
    <xdr:pic>
      <xdr:nvPicPr>
        <xdr:cNvPr id="864350" name="Picture 107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77775" y="3124200"/>
          <a:ext cx="6572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12</xdr:col>
      <xdr:colOff>419100</xdr:colOff>
      <xdr:row>27</xdr:row>
      <xdr:rowOff>114300</xdr:rowOff>
    </xdr:from>
    <xdr:to>
      <xdr:col>12</xdr:col>
      <xdr:colOff>1123950</xdr:colOff>
      <xdr:row>28</xdr:row>
      <xdr:rowOff>247650</xdr:rowOff>
    </xdr:to>
    <xdr:pic>
      <xdr:nvPicPr>
        <xdr:cNvPr id="864351" name="Picture 107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49200" y="8315325"/>
          <a:ext cx="704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95250</xdr:colOff>
      <xdr:row>7</xdr:row>
      <xdr:rowOff>276225</xdr:rowOff>
    </xdr:from>
    <xdr:to>
      <xdr:col>2</xdr:col>
      <xdr:colOff>1647825</xdr:colOff>
      <xdr:row>10</xdr:row>
      <xdr:rowOff>276225</xdr:rowOff>
    </xdr:to>
    <xdr:pic>
      <xdr:nvPicPr>
        <xdr:cNvPr id="864352" name="Picture 2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9875" y="1800225"/>
          <a:ext cx="15525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352425</xdr:colOff>
      <xdr:row>16</xdr:row>
      <xdr:rowOff>38100</xdr:rowOff>
    </xdr:from>
    <xdr:to>
      <xdr:col>2</xdr:col>
      <xdr:colOff>1343025</xdr:colOff>
      <xdr:row>17</xdr:row>
      <xdr:rowOff>304800</xdr:rowOff>
    </xdr:to>
    <xdr:pic>
      <xdr:nvPicPr>
        <xdr:cNvPr id="864353" name="Picture 2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67050" y="4810125"/>
          <a:ext cx="9906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857250</xdr:colOff>
      <xdr:row>30</xdr:row>
      <xdr:rowOff>28575</xdr:rowOff>
    </xdr:from>
    <xdr:to>
      <xdr:col>13</xdr:col>
      <xdr:colOff>1114425</xdr:colOff>
      <xdr:row>34</xdr:row>
      <xdr:rowOff>238125</xdr:rowOff>
    </xdr:to>
    <xdr:pic>
      <xdr:nvPicPr>
        <xdr:cNvPr id="864354" name="Picture 4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29750" y="9105900"/>
          <a:ext cx="54959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942975</xdr:colOff>
      <xdr:row>36</xdr:row>
      <xdr:rowOff>104775</xdr:rowOff>
    </xdr:from>
    <xdr:to>
      <xdr:col>14</xdr:col>
      <xdr:colOff>66675</xdr:colOff>
      <xdr:row>38</xdr:row>
      <xdr:rowOff>152400</xdr:rowOff>
    </xdr:to>
    <xdr:pic>
      <xdr:nvPicPr>
        <xdr:cNvPr id="864355" name="Picture 4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15475" y="10267950"/>
          <a:ext cx="55054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47625</xdr:colOff>
      <xdr:row>6</xdr:row>
      <xdr:rowOff>219075</xdr:rowOff>
    </xdr:from>
    <xdr:to>
      <xdr:col>12</xdr:col>
      <xdr:colOff>1514475</xdr:colOff>
      <xdr:row>8</xdr:row>
      <xdr:rowOff>0</xdr:rowOff>
    </xdr:to>
    <xdr:pic>
      <xdr:nvPicPr>
        <xdr:cNvPr id="864356" name="Picture 7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277725" y="1362075"/>
          <a:ext cx="14668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285750</xdr:colOff>
      <xdr:row>9</xdr:row>
      <xdr:rowOff>66675</xdr:rowOff>
    </xdr:from>
    <xdr:to>
      <xdr:col>12</xdr:col>
      <xdr:colOff>1123950</xdr:colOff>
      <xdr:row>10</xdr:row>
      <xdr:rowOff>257175</xdr:rowOff>
    </xdr:to>
    <xdr:pic>
      <xdr:nvPicPr>
        <xdr:cNvPr id="864357" name="Picture 7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515850" y="2314575"/>
          <a:ext cx="8382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409575</xdr:colOff>
      <xdr:row>22</xdr:row>
      <xdr:rowOff>38100</xdr:rowOff>
    </xdr:from>
    <xdr:to>
      <xdr:col>12</xdr:col>
      <xdr:colOff>971550</xdr:colOff>
      <xdr:row>23</xdr:row>
      <xdr:rowOff>285750</xdr:rowOff>
    </xdr:to>
    <xdr:pic>
      <xdr:nvPicPr>
        <xdr:cNvPr id="864358" name="Picture 7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639675" y="678180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266700</xdr:colOff>
      <xdr:row>13</xdr:row>
      <xdr:rowOff>180975</xdr:rowOff>
    </xdr:from>
    <xdr:to>
      <xdr:col>12</xdr:col>
      <xdr:colOff>1181100</xdr:colOff>
      <xdr:row>15</xdr:row>
      <xdr:rowOff>161925</xdr:rowOff>
    </xdr:to>
    <xdr:pic>
      <xdr:nvPicPr>
        <xdr:cNvPr id="864359" name="Picture 80"/>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496800" y="4010025"/>
          <a:ext cx="914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333375</xdr:colOff>
      <xdr:row>17</xdr:row>
      <xdr:rowOff>190500</xdr:rowOff>
    </xdr:from>
    <xdr:to>
      <xdr:col>12</xdr:col>
      <xdr:colOff>1171575</xdr:colOff>
      <xdr:row>19</xdr:row>
      <xdr:rowOff>85725</xdr:rowOff>
    </xdr:to>
    <xdr:pic>
      <xdr:nvPicPr>
        <xdr:cNvPr id="864360" name="Picture 8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563475" y="5343525"/>
          <a:ext cx="838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542925</xdr:colOff>
      <xdr:row>20</xdr:row>
      <xdr:rowOff>28575</xdr:rowOff>
    </xdr:from>
    <xdr:to>
      <xdr:col>12</xdr:col>
      <xdr:colOff>895350</xdr:colOff>
      <xdr:row>20</xdr:row>
      <xdr:rowOff>361950</xdr:rowOff>
    </xdr:to>
    <xdr:pic>
      <xdr:nvPicPr>
        <xdr:cNvPr id="864361" name="Picture 8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773025" y="5991225"/>
          <a:ext cx="3524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37</xdr:row>
      <xdr:rowOff>66675</xdr:rowOff>
    </xdr:from>
    <xdr:to>
      <xdr:col>0</xdr:col>
      <xdr:colOff>1066800</xdr:colOff>
      <xdr:row>38</xdr:row>
      <xdr:rowOff>161925</xdr:rowOff>
    </xdr:to>
    <xdr:pic>
      <xdr:nvPicPr>
        <xdr:cNvPr id="864362" name="Picture 430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4300" y="10391775"/>
          <a:ext cx="952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19</xdr:row>
      <xdr:rowOff>38100</xdr:rowOff>
    </xdr:from>
    <xdr:to>
      <xdr:col>2</xdr:col>
      <xdr:colOff>1276350</xdr:colOff>
      <xdr:row>21</xdr:row>
      <xdr:rowOff>228600</xdr:rowOff>
    </xdr:to>
    <xdr:pic>
      <xdr:nvPicPr>
        <xdr:cNvPr id="864363" name="Picture 1159"/>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181350" y="5781675"/>
          <a:ext cx="8096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533400</xdr:colOff>
      <xdr:row>25</xdr:row>
      <xdr:rowOff>66675</xdr:rowOff>
    </xdr:from>
    <xdr:to>
      <xdr:col>12</xdr:col>
      <xdr:colOff>1038225</xdr:colOff>
      <xdr:row>26</xdr:row>
      <xdr:rowOff>171450</xdr:rowOff>
    </xdr:to>
    <xdr:pic>
      <xdr:nvPicPr>
        <xdr:cNvPr id="864364" name="Рисунок 19" descr="prof_al.pn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763500" y="7562850"/>
          <a:ext cx="5048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371475</xdr:colOff>
      <xdr:row>12</xdr:row>
      <xdr:rowOff>57150</xdr:rowOff>
    </xdr:from>
    <xdr:to>
      <xdr:col>2</xdr:col>
      <xdr:colOff>1362075</xdr:colOff>
      <xdr:row>13</xdr:row>
      <xdr:rowOff>0</xdr:rowOff>
    </xdr:to>
    <xdr:pic>
      <xdr:nvPicPr>
        <xdr:cNvPr id="864365" name="Picture 19" descr="masterdeck-venge"/>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086100" y="3343275"/>
          <a:ext cx="9906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13</xdr:row>
      <xdr:rowOff>76200</xdr:rowOff>
    </xdr:from>
    <xdr:to>
      <xdr:col>2</xdr:col>
      <xdr:colOff>1181100</xdr:colOff>
      <xdr:row>14</xdr:row>
      <xdr:rowOff>238125</xdr:rowOff>
    </xdr:to>
    <xdr:pic>
      <xdr:nvPicPr>
        <xdr:cNvPr id="864366" name="Picture 38" descr="Доска 24х140 венге"/>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143250" y="3905250"/>
          <a:ext cx="7524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504825</xdr:colOff>
      <xdr:row>21</xdr:row>
      <xdr:rowOff>38100</xdr:rowOff>
    </xdr:from>
    <xdr:to>
      <xdr:col>12</xdr:col>
      <xdr:colOff>895350</xdr:colOff>
      <xdr:row>21</xdr:row>
      <xdr:rowOff>342900</xdr:rowOff>
    </xdr:to>
    <xdr:pic>
      <xdr:nvPicPr>
        <xdr:cNvPr id="864367" name="Picture 221" descr="Стартовая / финишная клипса"/>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734925" y="6391275"/>
          <a:ext cx="3905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742950</xdr:colOff>
      <xdr:row>21</xdr:row>
      <xdr:rowOff>57150</xdr:rowOff>
    </xdr:from>
    <xdr:to>
      <xdr:col>10</xdr:col>
      <xdr:colOff>533400</xdr:colOff>
      <xdr:row>22</xdr:row>
      <xdr:rowOff>209550</xdr:rowOff>
    </xdr:to>
    <xdr:pic>
      <xdr:nvPicPr>
        <xdr:cNvPr id="778479" name="Рисунок 4" descr="Формы.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8050" y="5248275"/>
          <a:ext cx="57435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48</xdr:row>
      <xdr:rowOff>38100</xdr:rowOff>
    </xdr:from>
    <xdr:to>
      <xdr:col>11</xdr:col>
      <xdr:colOff>609600</xdr:colOff>
      <xdr:row>49</xdr:row>
      <xdr:rowOff>342900</xdr:rowOff>
    </xdr:to>
    <xdr:pic>
      <xdr:nvPicPr>
        <xdr:cNvPr id="778480" name="Рисунок 5" descr="Certain Teed формы.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0" y="14820900"/>
          <a:ext cx="88963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7</xdr:row>
      <xdr:rowOff>19050</xdr:rowOff>
    </xdr:from>
    <xdr:to>
      <xdr:col>0</xdr:col>
      <xdr:colOff>1276350</xdr:colOff>
      <xdr:row>9</xdr:row>
      <xdr:rowOff>133350</xdr:rowOff>
    </xdr:to>
    <xdr:pic>
      <xdr:nvPicPr>
        <xdr:cNvPr id="865302" name="Рисунок 27" descr="Coffee - 1.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514475"/>
          <a:ext cx="1238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19050</xdr:colOff>
      <xdr:row>11</xdr:row>
      <xdr:rowOff>133350</xdr:rowOff>
    </xdr:from>
    <xdr:to>
      <xdr:col>11</xdr:col>
      <xdr:colOff>1333500</xdr:colOff>
      <xdr:row>15</xdr:row>
      <xdr:rowOff>19050</xdr:rowOff>
    </xdr:to>
    <xdr:pic>
      <xdr:nvPicPr>
        <xdr:cNvPr id="865303" name="Рисунок 28" descr="3 тайла.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200" y="2390775"/>
          <a:ext cx="13144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95250</xdr:colOff>
      <xdr:row>20</xdr:row>
      <xdr:rowOff>38100</xdr:rowOff>
    </xdr:from>
    <xdr:to>
      <xdr:col>11</xdr:col>
      <xdr:colOff>1266825</xdr:colOff>
      <xdr:row>23</xdr:row>
      <xdr:rowOff>142875</xdr:rowOff>
    </xdr:to>
    <xdr:pic>
      <xdr:nvPicPr>
        <xdr:cNvPr id="865304" name="Рисунок 29" descr="Coffee2 - 6.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58400" y="4010025"/>
          <a:ext cx="11715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85725</xdr:colOff>
      <xdr:row>6</xdr:row>
      <xdr:rowOff>142875</xdr:rowOff>
    </xdr:from>
    <xdr:to>
      <xdr:col>11</xdr:col>
      <xdr:colOff>1181100</xdr:colOff>
      <xdr:row>10</xdr:row>
      <xdr:rowOff>9525</xdr:rowOff>
    </xdr:to>
    <xdr:pic>
      <xdr:nvPicPr>
        <xdr:cNvPr id="865305" name="Рисунок 28" descr="IMG_3374.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926993">
          <a:off x="10048875" y="1447800"/>
          <a:ext cx="10953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20</xdr:row>
      <xdr:rowOff>85725</xdr:rowOff>
    </xdr:from>
    <xdr:to>
      <xdr:col>0</xdr:col>
      <xdr:colOff>1266825</xdr:colOff>
      <xdr:row>23</xdr:row>
      <xdr:rowOff>57150</xdr:rowOff>
    </xdr:to>
    <xdr:pic>
      <xdr:nvPicPr>
        <xdr:cNvPr id="865306" name="Рисунок 8" descr="валенсия капучино.pn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4057650"/>
          <a:ext cx="12287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13</xdr:row>
      <xdr:rowOff>104775</xdr:rowOff>
    </xdr:from>
    <xdr:to>
      <xdr:col>0</xdr:col>
      <xdr:colOff>1285875</xdr:colOff>
      <xdr:row>15</xdr:row>
      <xdr:rowOff>161925</xdr:rowOff>
    </xdr:to>
    <xdr:pic>
      <xdr:nvPicPr>
        <xdr:cNvPr id="865307" name="Рисунок 9" descr="барселона терракота.pn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2743200"/>
          <a:ext cx="12477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24</xdr:row>
      <xdr:rowOff>152400</xdr:rowOff>
    </xdr:from>
    <xdr:to>
      <xdr:col>0</xdr:col>
      <xdr:colOff>1200150</xdr:colOff>
      <xdr:row>27</xdr:row>
      <xdr:rowOff>161925</xdr:rowOff>
    </xdr:to>
    <xdr:pic>
      <xdr:nvPicPr>
        <xdr:cNvPr id="865308" name="Picture 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427006">
          <a:off x="85725" y="5057775"/>
          <a:ext cx="1114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8</xdr:row>
      <xdr:rowOff>152400</xdr:rowOff>
    </xdr:from>
    <xdr:to>
      <xdr:col>0</xdr:col>
      <xdr:colOff>1143000</xdr:colOff>
      <xdr:row>10</xdr:row>
      <xdr:rowOff>152400</xdr:rowOff>
    </xdr:to>
    <xdr:pic>
      <xdr:nvPicPr>
        <xdr:cNvPr id="866317" name="Picture 136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819275"/>
          <a:ext cx="11144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xdr:colOff>
      <xdr:row>6</xdr:row>
      <xdr:rowOff>76200</xdr:rowOff>
    </xdr:from>
    <xdr:to>
      <xdr:col>10</xdr:col>
      <xdr:colOff>1104900</xdr:colOff>
      <xdr:row>8</xdr:row>
      <xdr:rowOff>38100</xdr:rowOff>
    </xdr:to>
    <xdr:pic>
      <xdr:nvPicPr>
        <xdr:cNvPr id="866318" name="Picture 136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77400" y="1323975"/>
          <a:ext cx="1066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47625</xdr:colOff>
      <xdr:row>13</xdr:row>
      <xdr:rowOff>57150</xdr:rowOff>
    </xdr:from>
    <xdr:to>
      <xdr:col>10</xdr:col>
      <xdr:colOff>1162050</xdr:colOff>
      <xdr:row>14</xdr:row>
      <xdr:rowOff>171450</xdr:rowOff>
    </xdr:to>
    <xdr:pic>
      <xdr:nvPicPr>
        <xdr:cNvPr id="866319" name="Picture 136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86925" y="2771775"/>
          <a:ext cx="11144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xdr:colOff>
      <xdr:row>21</xdr:row>
      <xdr:rowOff>9525</xdr:rowOff>
    </xdr:from>
    <xdr:to>
      <xdr:col>10</xdr:col>
      <xdr:colOff>1143000</xdr:colOff>
      <xdr:row>22</xdr:row>
      <xdr:rowOff>47625</xdr:rowOff>
    </xdr:to>
    <xdr:pic>
      <xdr:nvPicPr>
        <xdr:cNvPr id="866320" name="Рисунок 32" descr="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58350" y="4400550"/>
          <a:ext cx="11239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6</xdr:row>
      <xdr:rowOff>47625</xdr:rowOff>
    </xdr:from>
    <xdr:to>
      <xdr:col>0</xdr:col>
      <xdr:colOff>1514475</xdr:colOff>
      <xdr:row>7</xdr:row>
      <xdr:rowOff>295275</xdr:rowOff>
    </xdr:to>
    <xdr:pic>
      <xdr:nvPicPr>
        <xdr:cNvPr id="867404" name="Рисунок 27" descr="1.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133475"/>
          <a:ext cx="14763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8</xdr:row>
      <xdr:rowOff>104775</xdr:rowOff>
    </xdr:from>
    <xdr:to>
      <xdr:col>0</xdr:col>
      <xdr:colOff>1533525</xdr:colOff>
      <xdr:row>9</xdr:row>
      <xdr:rowOff>47625</xdr:rowOff>
    </xdr:to>
    <xdr:pic>
      <xdr:nvPicPr>
        <xdr:cNvPr id="867405" name="Рисунок 28" descr="2.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1838325"/>
          <a:ext cx="14668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11</xdr:row>
      <xdr:rowOff>19050</xdr:rowOff>
    </xdr:from>
    <xdr:to>
      <xdr:col>0</xdr:col>
      <xdr:colOff>1085850</xdr:colOff>
      <xdr:row>12</xdr:row>
      <xdr:rowOff>285750</xdr:rowOff>
    </xdr:to>
    <xdr:pic>
      <xdr:nvPicPr>
        <xdr:cNvPr id="867406" name="Рисунок 27" descr="3.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 y="2981325"/>
          <a:ext cx="1038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13</xdr:row>
      <xdr:rowOff>38100</xdr:rowOff>
    </xdr:from>
    <xdr:to>
      <xdr:col>0</xdr:col>
      <xdr:colOff>1123950</xdr:colOff>
      <xdr:row>14</xdr:row>
      <xdr:rowOff>276225</xdr:rowOff>
    </xdr:to>
    <xdr:pic>
      <xdr:nvPicPr>
        <xdr:cNvPr id="867407" name="Рисунок 28" descr="4.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3648075"/>
          <a:ext cx="1038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15</xdr:row>
      <xdr:rowOff>28575</xdr:rowOff>
    </xdr:from>
    <xdr:to>
      <xdr:col>0</xdr:col>
      <xdr:colOff>933450</xdr:colOff>
      <xdr:row>15</xdr:row>
      <xdr:rowOff>504825</xdr:rowOff>
    </xdr:to>
    <xdr:pic>
      <xdr:nvPicPr>
        <xdr:cNvPr id="867408" name="Рисунок 29" descr="5.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4362450"/>
          <a:ext cx="8953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16</xdr:row>
      <xdr:rowOff>28575</xdr:rowOff>
    </xdr:from>
    <xdr:to>
      <xdr:col>0</xdr:col>
      <xdr:colOff>1219200</xdr:colOff>
      <xdr:row>16</xdr:row>
      <xdr:rowOff>609600</xdr:rowOff>
    </xdr:to>
    <xdr:pic>
      <xdr:nvPicPr>
        <xdr:cNvPr id="867409" name="Рисунок 30" descr="6.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675" y="4895850"/>
          <a:ext cx="11525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17</xdr:row>
      <xdr:rowOff>28575</xdr:rowOff>
    </xdr:from>
    <xdr:to>
      <xdr:col>0</xdr:col>
      <xdr:colOff>1181100</xdr:colOff>
      <xdr:row>17</xdr:row>
      <xdr:rowOff>619125</xdr:rowOff>
    </xdr:to>
    <xdr:pic>
      <xdr:nvPicPr>
        <xdr:cNvPr id="867410" name="Рисунок 31" descr="7.jp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7150" y="5534025"/>
          <a:ext cx="11239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18</xdr:row>
      <xdr:rowOff>28575</xdr:rowOff>
    </xdr:from>
    <xdr:to>
      <xdr:col>0</xdr:col>
      <xdr:colOff>1190625</xdr:colOff>
      <xdr:row>19</xdr:row>
      <xdr:rowOff>295275</xdr:rowOff>
    </xdr:to>
    <xdr:pic>
      <xdr:nvPicPr>
        <xdr:cNvPr id="867411" name="Рисунок 32" descr="8.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100" y="6181725"/>
          <a:ext cx="1152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20</xdr:row>
      <xdr:rowOff>28575</xdr:rowOff>
    </xdr:from>
    <xdr:to>
      <xdr:col>0</xdr:col>
      <xdr:colOff>1123950</xdr:colOff>
      <xdr:row>20</xdr:row>
      <xdr:rowOff>657225</xdr:rowOff>
    </xdr:to>
    <xdr:pic>
      <xdr:nvPicPr>
        <xdr:cNvPr id="867412" name="Рисунок 33" descr="9.jp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100" y="6867525"/>
          <a:ext cx="10858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21</xdr:row>
      <xdr:rowOff>28575</xdr:rowOff>
    </xdr:from>
    <xdr:to>
      <xdr:col>0</xdr:col>
      <xdr:colOff>1152525</xdr:colOff>
      <xdr:row>22</xdr:row>
      <xdr:rowOff>419100</xdr:rowOff>
    </xdr:to>
    <xdr:pic>
      <xdr:nvPicPr>
        <xdr:cNvPr id="867413" name="Рисунок 34" descr="10.jpg"/>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6675" y="7562850"/>
          <a:ext cx="10858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23</xdr:row>
      <xdr:rowOff>9525</xdr:rowOff>
    </xdr:from>
    <xdr:to>
      <xdr:col>0</xdr:col>
      <xdr:colOff>1114425</xdr:colOff>
      <xdr:row>24</xdr:row>
      <xdr:rowOff>295275</xdr:rowOff>
    </xdr:to>
    <xdr:pic>
      <xdr:nvPicPr>
        <xdr:cNvPr id="867414" name="Рисунок 35" descr="11.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7150" y="8258175"/>
          <a:ext cx="1057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85725</xdr:colOff>
      <xdr:row>18</xdr:row>
      <xdr:rowOff>28575</xdr:rowOff>
    </xdr:from>
    <xdr:to>
      <xdr:col>8</xdr:col>
      <xdr:colOff>1047750</xdr:colOff>
      <xdr:row>19</xdr:row>
      <xdr:rowOff>295275</xdr:rowOff>
    </xdr:to>
    <xdr:pic>
      <xdr:nvPicPr>
        <xdr:cNvPr id="867415" name="Рисунок 27" descr="12.jp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429625" y="6181725"/>
          <a:ext cx="9620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95250</xdr:colOff>
      <xdr:row>20</xdr:row>
      <xdr:rowOff>28575</xdr:rowOff>
    </xdr:from>
    <xdr:to>
      <xdr:col>8</xdr:col>
      <xdr:colOff>1028700</xdr:colOff>
      <xdr:row>20</xdr:row>
      <xdr:rowOff>657225</xdr:rowOff>
    </xdr:to>
    <xdr:pic>
      <xdr:nvPicPr>
        <xdr:cNvPr id="867416" name="Рисунок 28" descr="13.jp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39150" y="6867525"/>
          <a:ext cx="9334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123825</xdr:colOff>
      <xdr:row>17</xdr:row>
      <xdr:rowOff>66675</xdr:rowOff>
    </xdr:from>
    <xdr:to>
      <xdr:col>8</xdr:col>
      <xdr:colOff>981075</xdr:colOff>
      <xdr:row>17</xdr:row>
      <xdr:rowOff>571500</xdr:rowOff>
    </xdr:to>
    <xdr:pic>
      <xdr:nvPicPr>
        <xdr:cNvPr id="867417" name="Рисунок 27" descr="14.jp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467725" y="5572125"/>
          <a:ext cx="8572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571500</xdr:colOff>
      <xdr:row>15</xdr:row>
      <xdr:rowOff>523875</xdr:rowOff>
    </xdr:from>
    <xdr:to>
      <xdr:col>8</xdr:col>
      <xdr:colOff>1514475</xdr:colOff>
      <xdr:row>16</xdr:row>
      <xdr:rowOff>571500</xdr:rowOff>
    </xdr:to>
    <xdr:pic>
      <xdr:nvPicPr>
        <xdr:cNvPr id="867418" name="Рисунок 28" descr="15.jpg"/>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915400" y="4857750"/>
          <a:ext cx="9429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15</xdr:row>
      <xdr:rowOff>66675</xdr:rowOff>
    </xdr:from>
    <xdr:to>
      <xdr:col>8</xdr:col>
      <xdr:colOff>752475</xdr:colOff>
      <xdr:row>16</xdr:row>
      <xdr:rowOff>247650</xdr:rowOff>
    </xdr:to>
    <xdr:pic>
      <xdr:nvPicPr>
        <xdr:cNvPr id="867419" name="Рисунок 29" descr="16.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486775" y="440055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381000</xdr:colOff>
      <xdr:row>12</xdr:row>
      <xdr:rowOff>295275</xdr:rowOff>
    </xdr:from>
    <xdr:to>
      <xdr:col>8</xdr:col>
      <xdr:colOff>1514475</xdr:colOff>
      <xdr:row>14</xdr:row>
      <xdr:rowOff>314325</xdr:rowOff>
    </xdr:to>
    <xdr:pic>
      <xdr:nvPicPr>
        <xdr:cNvPr id="867420" name="Рисунок 30" descr="17.jpg"/>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724900" y="3600450"/>
          <a:ext cx="11334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12</xdr:row>
      <xdr:rowOff>28575</xdr:rowOff>
    </xdr:from>
    <xdr:to>
      <xdr:col>8</xdr:col>
      <xdr:colOff>819150</xdr:colOff>
      <xdr:row>13</xdr:row>
      <xdr:rowOff>295275</xdr:rowOff>
    </xdr:to>
    <xdr:pic>
      <xdr:nvPicPr>
        <xdr:cNvPr id="867421" name="Рисунок 31" descr="18.jpg"/>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420100" y="3333750"/>
          <a:ext cx="7429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xdr:colOff>
      <xdr:row>10</xdr:row>
      <xdr:rowOff>19050</xdr:rowOff>
    </xdr:from>
    <xdr:to>
      <xdr:col>8</xdr:col>
      <xdr:colOff>1333500</xdr:colOff>
      <xdr:row>11</xdr:row>
      <xdr:rowOff>323850</xdr:rowOff>
    </xdr:to>
    <xdr:pic>
      <xdr:nvPicPr>
        <xdr:cNvPr id="867422" name="Рисунок 32" descr="19.jpg"/>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410575" y="2724150"/>
          <a:ext cx="12668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104775</xdr:colOff>
      <xdr:row>8</xdr:row>
      <xdr:rowOff>38100</xdr:rowOff>
    </xdr:from>
    <xdr:to>
      <xdr:col>8</xdr:col>
      <xdr:colOff>1076325</xdr:colOff>
      <xdr:row>8</xdr:row>
      <xdr:rowOff>619125</xdr:rowOff>
    </xdr:to>
    <xdr:pic>
      <xdr:nvPicPr>
        <xdr:cNvPr id="867423" name="Рисунок 33" descr="20.jp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448675" y="1771650"/>
          <a:ext cx="971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5</xdr:row>
      <xdr:rowOff>95250</xdr:rowOff>
    </xdr:from>
    <xdr:to>
      <xdr:col>8</xdr:col>
      <xdr:colOff>1047750</xdr:colOff>
      <xdr:row>7</xdr:row>
      <xdr:rowOff>133350</xdr:rowOff>
    </xdr:to>
    <xdr:pic>
      <xdr:nvPicPr>
        <xdr:cNvPr id="867424" name="Рисунок 34" descr="21.jp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486775" y="981075"/>
          <a:ext cx="9048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26</xdr:row>
      <xdr:rowOff>76200</xdr:rowOff>
    </xdr:from>
    <xdr:to>
      <xdr:col>0</xdr:col>
      <xdr:colOff>590550</xdr:colOff>
      <xdr:row>28</xdr:row>
      <xdr:rowOff>66675</xdr:rowOff>
    </xdr:to>
    <xdr:pic>
      <xdr:nvPicPr>
        <xdr:cNvPr id="867425" name="Рисунок 27" descr="22.jpg"/>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09550" y="9258300"/>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29</xdr:row>
      <xdr:rowOff>28575</xdr:rowOff>
    </xdr:from>
    <xdr:to>
      <xdr:col>0</xdr:col>
      <xdr:colOff>1171575</xdr:colOff>
      <xdr:row>30</xdr:row>
      <xdr:rowOff>381000</xdr:rowOff>
    </xdr:to>
    <xdr:pic>
      <xdr:nvPicPr>
        <xdr:cNvPr id="867426" name="Рисунок 28" descr="23.jpg"/>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95250" y="9725025"/>
          <a:ext cx="10763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31</xdr:row>
      <xdr:rowOff>28575</xdr:rowOff>
    </xdr:from>
    <xdr:to>
      <xdr:col>0</xdr:col>
      <xdr:colOff>781050</xdr:colOff>
      <xdr:row>32</xdr:row>
      <xdr:rowOff>304800</xdr:rowOff>
    </xdr:to>
    <xdr:pic>
      <xdr:nvPicPr>
        <xdr:cNvPr id="867427" name="Рисунок 29" descr="24.jpg"/>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85725" y="10582275"/>
          <a:ext cx="695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33</xdr:row>
      <xdr:rowOff>38100</xdr:rowOff>
    </xdr:from>
    <xdr:to>
      <xdr:col>0</xdr:col>
      <xdr:colOff>733425</xdr:colOff>
      <xdr:row>34</xdr:row>
      <xdr:rowOff>85725</xdr:rowOff>
    </xdr:to>
    <xdr:pic>
      <xdr:nvPicPr>
        <xdr:cNvPr id="867428" name="Рисунок 30" descr="25.jpg"/>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4775" y="11372850"/>
          <a:ext cx="6286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95250</xdr:colOff>
      <xdr:row>14</xdr:row>
      <xdr:rowOff>95250</xdr:rowOff>
    </xdr:from>
    <xdr:to>
      <xdr:col>0</xdr:col>
      <xdr:colOff>1447800</xdr:colOff>
      <xdr:row>16</xdr:row>
      <xdr:rowOff>238125</xdr:rowOff>
    </xdr:to>
    <xdr:pic>
      <xdr:nvPicPr>
        <xdr:cNvPr id="86845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162300"/>
          <a:ext cx="13525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6</xdr:row>
      <xdr:rowOff>114300</xdr:rowOff>
    </xdr:from>
    <xdr:to>
      <xdr:col>0</xdr:col>
      <xdr:colOff>1428750</xdr:colOff>
      <xdr:row>10</xdr:row>
      <xdr:rowOff>95250</xdr:rowOff>
    </xdr:to>
    <xdr:pic>
      <xdr:nvPicPr>
        <xdr:cNvPr id="868453"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1362075"/>
          <a:ext cx="13620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11</xdr:row>
      <xdr:rowOff>28575</xdr:rowOff>
    </xdr:from>
    <xdr:to>
      <xdr:col>0</xdr:col>
      <xdr:colOff>1438275</xdr:colOff>
      <xdr:row>13</xdr:row>
      <xdr:rowOff>228600</xdr:rowOff>
    </xdr:to>
    <xdr:pic>
      <xdr:nvPicPr>
        <xdr:cNvPr id="868454" name="Picture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2276475"/>
          <a:ext cx="13525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28575</xdr:rowOff>
    </xdr:from>
    <xdr:to>
      <xdr:col>0</xdr:col>
      <xdr:colOff>1438275</xdr:colOff>
      <xdr:row>18</xdr:row>
      <xdr:rowOff>323850</xdr:rowOff>
    </xdr:to>
    <xdr:pic>
      <xdr:nvPicPr>
        <xdr:cNvPr id="868455" name="Picture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4057650"/>
          <a:ext cx="1343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28575</xdr:rowOff>
    </xdr:from>
    <xdr:to>
      <xdr:col>0</xdr:col>
      <xdr:colOff>1428750</xdr:colOff>
      <xdr:row>20</xdr:row>
      <xdr:rowOff>371475</xdr:rowOff>
    </xdr:to>
    <xdr:pic>
      <xdr:nvPicPr>
        <xdr:cNvPr id="868456" name="Picture 1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4876800"/>
          <a:ext cx="13620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21</xdr:row>
      <xdr:rowOff>66675</xdr:rowOff>
    </xdr:from>
    <xdr:to>
      <xdr:col>0</xdr:col>
      <xdr:colOff>1428750</xdr:colOff>
      <xdr:row>23</xdr:row>
      <xdr:rowOff>323850</xdr:rowOff>
    </xdr:to>
    <xdr:pic>
      <xdr:nvPicPr>
        <xdr:cNvPr id="868457" name="Picture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675" y="5743575"/>
          <a:ext cx="13620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24</xdr:row>
      <xdr:rowOff>66675</xdr:rowOff>
    </xdr:from>
    <xdr:to>
      <xdr:col>0</xdr:col>
      <xdr:colOff>1419225</xdr:colOff>
      <xdr:row>26</xdr:row>
      <xdr:rowOff>190500</xdr:rowOff>
    </xdr:to>
    <xdr:pic>
      <xdr:nvPicPr>
        <xdr:cNvPr id="868458" name="Picture 14"/>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675" y="6619875"/>
          <a:ext cx="13525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27</xdr:row>
      <xdr:rowOff>28575</xdr:rowOff>
    </xdr:from>
    <xdr:to>
      <xdr:col>0</xdr:col>
      <xdr:colOff>1428750</xdr:colOff>
      <xdr:row>27</xdr:row>
      <xdr:rowOff>790575</xdr:rowOff>
    </xdr:to>
    <xdr:pic>
      <xdr:nvPicPr>
        <xdr:cNvPr id="868459" name="Picture 1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6675" y="7496175"/>
          <a:ext cx="13620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95250</xdr:colOff>
      <xdr:row>31</xdr:row>
      <xdr:rowOff>95250</xdr:rowOff>
    </xdr:from>
    <xdr:to>
      <xdr:col>8</xdr:col>
      <xdr:colOff>1457325</xdr:colOff>
      <xdr:row>34</xdr:row>
      <xdr:rowOff>0</xdr:rowOff>
    </xdr:to>
    <xdr:pic>
      <xdr:nvPicPr>
        <xdr:cNvPr id="868460" name="Picture 1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305925" y="9334500"/>
          <a:ext cx="13620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28</xdr:row>
      <xdr:rowOff>66675</xdr:rowOff>
    </xdr:from>
    <xdr:to>
      <xdr:col>0</xdr:col>
      <xdr:colOff>1476375</xdr:colOff>
      <xdr:row>29</xdr:row>
      <xdr:rowOff>238125</xdr:rowOff>
    </xdr:to>
    <xdr:pic>
      <xdr:nvPicPr>
        <xdr:cNvPr id="868461" name="Picture 4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575" y="8343900"/>
          <a:ext cx="1447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30</xdr:row>
      <xdr:rowOff>85725</xdr:rowOff>
    </xdr:from>
    <xdr:to>
      <xdr:col>0</xdr:col>
      <xdr:colOff>1047750</xdr:colOff>
      <xdr:row>31</xdr:row>
      <xdr:rowOff>104775</xdr:rowOff>
    </xdr:to>
    <xdr:pic>
      <xdr:nvPicPr>
        <xdr:cNvPr id="868462" name="Picture 4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0500" y="8963025"/>
          <a:ext cx="8572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xdr:row>
      <xdr:rowOff>38100</xdr:rowOff>
    </xdr:from>
    <xdr:to>
      <xdr:col>0</xdr:col>
      <xdr:colOff>1285875</xdr:colOff>
      <xdr:row>33</xdr:row>
      <xdr:rowOff>190500</xdr:rowOff>
    </xdr:to>
    <xdr:pic>
      <xdr:nvPicPr>
        <xdr:cNvPr id="868463" name="Picture 4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9505950"/>
          <a:ext cx="12858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34</xdr:row>
      <xdr:rowOff>28575</xdr:rowOff>
    </xdr:from>
    <xdr:to>
      <xdr:col>0</xdr:col>
      <xdr:colOff>1343025</xdr:colOff>
      <xdr:row>35</xdr:row>
      <xdr:rowOff>219075</xdr:rowOff>
    </xdr:to>
    <xdr:pic>
      <xdr:nvPicPr>
        <xdr:cNvPr id="868464" name="Picture 48"/>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7150" y="10115550"/>
          <a:ext cx="1285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36</xdr:row>
      <xdr:rowOff>57150</xdr:rowOff>
    </xdr:from>
    <xdr:to>
      <xdr:col>0</xdr:col>
      <xdr:colOff>638175</xdr:colOff>
      <xdr:row>37</xdr:row>
      <xdr:rowOff>85725</xdr:rowOff>
    </xdr:to>
    <xdr:pic>
      <xdr:nvPicPr>
        <xdr:cNvPr id="868465" name="Picture 8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775" y="10725150"/>
          <a:ext cx="533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38</xdr:row>
      <xdr:rowOff>104775</xdr:rowOff>
    </xdr:from>
    <xdr:to>
      <xdr:col>0</xdr:col>
      <xdr:colOff>704850</xdr:colOff>
      <xdr:row>39</xdr:row>
      <xdr:rowOff>190500</xdr:rowOff>
    </xdr:to>
    <xdr:pic>
      <xdr:nvPicPr>
        <xdr:cNvPr id="868466" name="Picture 89"/>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5250" y="11363325"/>
          <a:ext cx="609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40</xdr:row>
      <xdr:rowOff>57150</xdr:rowOff>
    </xdr:from>
    <xdr:to>
      <xdr:col>0</xdr:col>
      <xdr:colOff>847725</xdr:colOff>
      <xdr:row>41</xdr:row>
      <xdr:rowOff>200025</xdr:rowOff>
    </xdr:to>
    <xdr:pic>
      <xdr:nvPicPr>
        <xdr:cNvPr id="868467" name="Picture 95"/>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5725" y="11982450"/>
          <a:ext cx="7620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42</xdr:row>
      <xdr:rowOff>38100</xdr:rowOff>
    </xdr:from>
    <xdr:to>
      <xdr:col>0</xdr:col>
      <xdr:colOff>828675</xdr:colOff>
      <xdr:row>43</xdr:row>
      <xdr:rowOff>266700</xdr:rowOff>
    </xdr:to>
    <xdr:pic>
      <xdr:nvPicPr>
        <xdr:cNvPr id="868468" name="Picture 97"/>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6675" y="12544425"/>
          <a:ext cx="762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44</xdr:row>
      <xdr:rowOff>28575</xdr:rowOff>
    </xdr:from>
    <xdr:to>
      <xdr:col>0</xdr:col>
      <xdr:colOff>1047750</xdr:colOff>
      <xdr:row>45</xdr:row>
      <xdr:rowOff>161925</xdr:rowOff>
    </xdr:to>
    <xdr:pic>
      <xdr:nvPicPr>
        <xdr:cNvPr id="868469" name="Picture 2"/>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7150" y="13134975"/>
          <a:ext cx="9906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85725</xdr:colOff>
      <xdr:row>5</xdr:row>
      <xdr:rowOff>57150</xdr:rowOff>
    </xdr:from>
    <xdr:to>
      <xdr:col>8</xdr:col>
      <xdr:colOff>1066800</xdr:colOff>
      <xdr:row>7</xdr:row>
      <xdr:rowOff>161925</xdr:rowOff>
    </xdr:to>
    <xdr:pic>
      <xdr:nvPicPr>
        <xdr:cNvPr id="868470" name="Picture 50"/>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296400" y="1133475"/>
          <a:ext cx="981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85725</xdr:colOff>
      <xdr:row>9</xdr:row>
      <xdr:rowOff>66675</xdr:rowOff>
    </xdr:from>
    <xdr:to>
      <xdr:col>8</xdr:col>
      <xdr:colOff>1171575</xdr:colOff>
      <xdr:row>11</xdr:row>
      <xdr:rowOff>104775</xdr:rowOff>
    </xdr:to>
    <xdr:pic>
      <xdr:nvPicPr>
        <xdr:cNvPr id="868471" name="Picture 52"/>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9296400" y="1876425"/>
          <a:ext cx="10858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12</xdr:row>
      <xdr:rowOff>38100</xdr:rowOff>
    </xdr:from>
    <xdr:to>
      <xdr:col>8</xdr:col>
      <xdr:colOff>1143000</xdr:colOff>
      <xdr:row>13</xdr:row>
      <xdr:rowOff>209550</xdr:rowOff>
    </xdr:to>
    <xdr:pic>
      <xdr:nvPicPr>
        <xdr:cNvPr id="868472" name="Picture 2"/>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9248775" y="2486025"/>
          <a:ext cx="11049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152400</xdr:colOff>
      <xdr:row>14</xdr:row>
      <xdr:rowOff>200025</xdr:rowOff>
    </xdr:from>
    <xdr:to>
      <xdr:col>8</xdr:col>
      <xdr:colOff>1304925</xdr:colOff>
      <xdr:row>16</xdr:row>
      <xdr:rowOff>28575</xdr:rowOff>
    </xdr:to>
    <xdr:pic>
      <xdr:nvPicPr>
        <xdr:cNvPr id="868473" name="Picture 54"/>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363075" y="3267075"/>
          <a:ext cx="1152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104775</xdr:colOff>
      <xdr:row>19</xdr:row>
      <xdr:rowOff>152400</xdr:rowOff>
    </xdr:from>
    <xdr:to>
      <xdr:col>8</xdr:col>
      <xdr:colOff>1095375</xdr:colOff>
      <xdr:row>20</xdr:row>
      <xdr:rowOff>76200</xdr:rowOff>
    </xdr:to>
    <xdr:pic>
      <xdr:nvPicPr>
        <xdr:cNvPr id="868474" name="Picture 56"/>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9315450" y="5000625"/>
          <a:ext cx="9906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123825</xdr:colOff>
      <xdr:row>17</xdr:row>
      <xdr:rowOff>133350</xdr:rowOff>
    </xdr:from>
    <xdr:to>
      <xdr:col>8</xdr:col>
      <xdr:colOff>981075</xdr:colOff>
      <xdr:row>18</xdr:row>
      <xdr:rowOff>104775</xdr:rowOff>
    </xdr:to>
    <xdr:pic>
      <xdr:nvPicPr>
        <xdr:cNvPr id="868475" name="Picture 85"/>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9334500" y="4162425"/>
          <a:ext cx="857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xdr:colOff>
      <xdr:row>21</xdr:row>
      <xdr:rowOff>123825</xdr:rowOff>
    </xdr:from>
    <xdr:to>
      <xdr:col>8</xdr:col>
      <xdr:colOff>1190625</xdr:colOff>
      <xdr:row>23</xdr:row>
      <xdr:rowOff>85725</xdr:rowOff>
    </xdr:to>
    <xdr:pic>
      <xdr:nvPicPr>
        <xdr:cNvPr id="868476" name="Picture 18"/>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9277350" y="5800725"/>
          <a:ext cx="11239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104775</xdr:colOff>
      <xdr:row>24</xdr:row>
      <xdr:rowOff>66675</xdr:rowOff>
    </xdr:from>
    <xdr:to>
      <xdr:col>8</xdr:col>
      <xdr:colOff>1219200</xdr:colOff>
      <xdr:row>25</xdr:row>
      <xdr:rowOff>342900</xdr:rowOff>
    </xdr:to>
    <xdr:pic>
      <xdr:nvPicPr>
        <xdr:cNvPr id="868477" name="Picture 81"/>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9315450" y="6619875"/>
          <a:ext cx="11144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xdr:colOff>
      <xdr:row>27</xdr:row>
      <xdr:rowOff>161925</xdr:rowOff>
    </xdr:from>
    <xdr:to>
      <xdr:col>8</xdr:col>
      <xdr:colOff>1352550</xdr:colOff>
      <xdr:row>27</xdr:row>
      <xdr:rowOff>609600</xdr:rowOff>
    </xdr:to>
    <xdr:pic>
      <xdr:nvPicPr>
        <xdr:cNvPr id="868478" name="Picture 83"/>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9277350" y="7629525"/>
          <a:ext cx="12858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123825</xdr:colOff>
      <xdr:row>28</xdr:row>
      <xdr:rowOff>104775</xdr:rowOff>
    </xdr:from>
    <xdr:to>
      <xdr:col>8</xdr:col>
      <xdr:colOff>1066800</xdr:colOff>
      <xdr:row>29</xdr:row>
      <xdr:rowOff>161925</xdr:rowOff>
    </xdr:to>
    <xdr:pic>
      <xdr:nvPicPr>
        <xdr:cNvPr id="868479" name="Picture 91"/>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9334500" y="8382000"/>
          <a:ext cx="9429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xdr:colOff>
      <xdr:row>40</xdr:row>
      <xdr:rowOff>85725</xdr:rowOff>
    </xdr:from>
    <xdr:to>
      <xdr:col>8</xdr:col>
      <xdr:colOff>600075</xdr:colOff>
      <xdr:row>42</xdr:row>
      <xdr:rowOff>152400</xdr:rowOff>
    </xdr:to>
    <xdr:pic>
      <xdr:nvPicPr>
        <xdr:cNvPr id="868480" name="Picture 103"/>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277350" y="12011025"/>
          <a:ext cx="5334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800100</xdr:colOff>
      <xdr:row>41</xdr:row>
      <xdr:rowOff>200025</xdr:rowOff>
    </xdr:from>
    <xdr:to>
      <xdr:col>8</xdr:col>
      <xdr:colOff>1581150</xdr:colOff>
      <xdr:row>43</xdr:row>
      <xdr:rowOff>238125</xdr:rowOff>
    </xdr:to>
    <xdr:pic>
      <xdr:nvPicPr>
        <xdr:cNvPr id="868481" name="Рисунок 33" descr="gvozdi_Metrotile.jpg"/>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0010775" y="12458700"/>
          <a:ext cx="7810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123825</xdr:colOff>
      <xdr:row>36</xdr:row>
      <xdr:rowOff>28575</xdr:rowOff>
    </xdr:from>
    <xdr:to>
      <xdr:col>8</xdr:col>
      <xdr:colOff>809625</xdr:colOff>
      <xdr:row>37</xdr:row>
      <xdr:rowOff>228600</xdr:rowOff>
    </xdr:to>
    <xdr:pic>
      <xdr:nvPicPr>
        <xdr:cNvPr id="868482" name="Picture 93"/>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334500" y="10696575"/>
          <a:ext cx="6858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38</xdr:row>
      <xdr:rowOff>38100</xdr:rowOff>
    </xdr:from>
    <xdr:to>
      <xdr:col>8</xdr:col>
      <xdr:colOff>971550</xdr:colOff>
      <xdr:row>39</xdr:row>
      <xdr:rowOff>276225</xdr:rowOff>
    </xdr:to>
    <xdr:pic>
      <xdr:nvPicPr>
        <xdr:cNvPr id="868483" name="Picture 1244"/>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9248775" y="11296650"/>
          <a:ext cx="9334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952500</xdr:colOff>
      <xdr:row>38</xdr:row>
      <xdr:rowOff>180975</xdr:rowOff>
    </xdr:from>
    <xdr:to>
      <xdr:col>8</xdr:col>
      <xdr:colOff>1590675</xdr:colOff>
      <xdr:row>39</xdr:row>
      <xdr:rowOff>314325</xdr:rowOff>
    </xdr:to>
    <xdr:pic>
      <xdr:nvPicPr>
        <xdr:cNvPr id="868484" name="Picture 3538"/>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0163175" y="11439525"/>
          <a:ext cx="6381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295275</xdr:colOff>
      <xdr:row>6</xdr:row>
      <xdr:rowOff>19050</xdr:rowOff>
    </xdr:from>
    <xdr:to>
      <xdr:col>1</xdr:col>
      <xdr:colOff>676275</xdr:colOff>
      <xdr:row>6</xdr:row>
      <xdr:rowOff>457200</xdr:rowOff>
    </xdr:to>
    <xdr:pic>
      <xdr:nvPicPr>
        <xdr:cNvPr id="84056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1066800"/>
          <a:ext cx="3810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285750</xdr:colOff>
      <xdr:row>9</xdr:row>
      <xdr:rowOff>38100</xdr:rowOff>
    </xdr:from>
    <xdr:to>
      <xdr:col>1</xdr:col>
      <xdr:colOff>733425</xdr:colOff>
      <xdr:row>9</xdr:row>
      <xdr:rowOff>333375</xdr:rowOff>
    </xdr:to>
    <xdr:pic>
      <xdr:nvPicPr>
        <xdr:cNvPr id="840563"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90825" y="2495550"/>
          <a:ext cx="4476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295275</xdr:colOff>
      <xdr:row>19</xdr:row>
      <xdr:rowOff>66675</xdr:rowOff>
    </xdr:from>
    <xdr:to>
      <xdr:col>1</xdr:col>
      <xdr:colOff>704850</xdr:colOff>
      <xdr:row>19</xdr:row>
      <xdr:rowOff>390525</xdr:rowOff>
    </xdr:to>
    <xdr:pic>
      <xdr:nvPicPr>
        <xdr:cNvPr id="840564" name="Picture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0350" y="6934200"/>
          <a:ext cx="4095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285750</xdr:colOff>
      <xdr:row>20</xdr:row>
      <xdr:rowOff>28575</xdr:rowOff>
    </xdr:from>
    <xdr:to>
      <xdr:col>1</xdr:col>
      <xdr:colOff>685800</xdr:colOff>
      <xdr:row>20</xdr:row>
      <xdr:rowOff>361950</xdr:rowOff>
    </xdr:to>
    <xdr:pic>
      <xdr:nvPicPr>
        <xdr:cNvPr id="840565" name="Picture 1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90825" y="7391400"/>
          <a:ext cx="4000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314325</xdr:colOff>
      <xdr:row>21</xdr:row>
      <xdr:rowOff>47625</xdr:rowOff>
    </xdr:from>
    <xdr:to>
      <xdr:col>1</xdr:col>
      <xdr:colOff>666750</xdr:colOff>
      <xdr:row>21</xdr:row>
      <xdr:rowOff>400050</xdr:rowOff>
    </xdr:to>
    <xdr:pic>
      <xdr:nvPicPr>
        <xdr:cNvPr id="840566" name="Picture 1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19400" y="7905750"/>
          <a:ext cx="352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314325</xdr:colOff>
      <xdr:row>22</xdr:row>
      <xdr:rowOff>28575</xdr:rowOff>
    </xdr:from>
    <xdr:to>
      <xdr:col>1</xdr:col>
      <xdr:colOff>666750</xdr:colOff>
      <xdr:row>22</xdr:row>
      <xdr:rowOff>390525</xdr:rowOff>
    </xdr:to>
    <xdr:pic>
      <xdr:nvPicPr>
        <xdr:cNvPr id="840567" name="Picture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19400" y="8382000"/>
          <a:ext cx="3524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352425</xdr:colOff>
      <xdr:row>23</xdr:row>
      <xdr:rowOff>47625</xdr:rowOff>
    </xdr:from>
    <xdr:to>
      <xdr:col>1</xdr:col>
      <xdr:colOff>666750</xdr:colOff>
      <xdr:row>23</xdr:row>
      <xdr:rowOff>371475</xdr:rowOff>
    </xdr:to>
    <xdr:pic>
      <xdr:nvPicPr>
        <xdr:cNvPr id="840568" name="Picture 1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57500" y="8896350"/>
          <a:ext cx="3143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228600</xdr:colOff>
      <xdr:row>24</xdr:row>
      <xdr:rowOff>38100</xdr:rowOff>
    </xdr:from>
    <xdr:to>
      <xdr:col>1</xdr:col>
      <xdr:colOff>771525</xdr:colOff>
      <xdr:row>24</xdr:row>
      <xdr:rowOff>438150</xdr:rowOff>
    </xdr:to>
    <xdr:pic>
      <xdr:nvPicPr>
        <xdr:cNvPr id="840569" name="Picture 1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733675" y="9382125"/>
          <a:ext cx="542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381000</xdr:colOff>
      <xdr:row>14</xdr:row>
      <xdr:rowOff>38100</xdr:rowOff>
    </xdr:from>
    <xdr:to>
      <xdr:col>1</xdr:col>
      <xdr:colOff>619125</xdr:colOff>
      <xdr:row>14</xdr:row>
      <xdr:rowOff>485775</xdr:rowOff>
    </xdr:to>
    <xdr:pic>
      <xdr:nvPicPr>
        <xdr:cNvPr id="840570" name="Picture 1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86075" y="4514850"/>
          <a:ext cx="2381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304800</xdr:colOff>
      <xdr:row>13</xdr:row>
      <xdr:rowOff>19050</xdr:rowOff>
    </xdr:from>
    <xdr:to>
      <xdr:col>1</xdr:col>
      <xdr:colOff>638175</xdr:colOff>
      <xdr:row>13</xdr:row>
      <xdr:rowOff>419100</xdr:rowOff>
    </xdr:to>
    <xdr:pic>
      <xdr:nvPicPr>
        <xdr:cNvPr id="840571" name="Picture 2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09875" y="4000500"/>
          <a:ext cx="3333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285750</xdr:colOff>
      <xdr:row>10</xdr:row>
      <xdr:rowOff>28575</xdr:rowOff>
    </xdr:from>
    <xdr:to>
      <xdr:col>1</xdr:col>
      <xdr:colOff>666750</xdr:colOff>
      <xdr:row>10</xdr:row>
      <xdr:rowOff>400050</xdr:rowOff>
    </xdr:to>
    <xdr:pic>
      <xdr:nvPicPr>
        <xdr:cNvPr id="840572" name="Picture 2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790825" y="298132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333375</xdr:colOff>
      <xdr:row>15</xdr:row>
      <xdr:rowOff>19050</xdr:rowOff>
    </xdr:from>
    <xdr:to>
      <xdr:col>1</xdr:col>
      <xdr:colOff>714375</xdr:colOff>
      <xdr:row>15</xdr:row>
      <xdr:rowOff>352425</xdr:rowOff>
    </xdr:to>
    <xdr:pic>
      <xdr:nvPicPr>
        <xdr:cNvPr id="840573" name="Picture 58"/>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38450" y="4991100"/>
          <a:ext cx="3810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228600</xdr:colOff>
      <xdr:row>26</xdr:row>
      <xdr:rowOff>28575</xdr:rowOff>
    </xdr:from>
    <xdr:to>
      <xdr:col>1</xdr:col>
      <xdr:colOff>828675</xdr:colOff>
      <xdr:row>26</xdr:row>
      <xdr:rowOff>476250</xdr:rowOff>
    </xdr:to>
    <xdr:pic>
      <xdr:nvPicPr>
        <xdr:cNvPr id="840574" name="Picture 97"/>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733675" y="10363200"/>
          <a:ext cx="600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180975</xdr:colOff>
      <xdr:row>17</xdr:row>
      <xdr:rowOff>38100</xdr:rowOff>
    </xdr:from>
    <xdr:to>
      <xdr:col>1</xdr:col>
      <xdr:colOff>819150</xdr:colOff>
      <xdr:row>17</xdr:row>
      <xdr:rowOff>457200</xdr:rowOff>
    </xdr:to>
    <xdr:pic>
      <xdr:nvPicPr>
        <xdr:cNvPr id="840575" name="Picture 2560"/>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686050" y="5915025"/>
          <a:ext cx="6381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304800</xdr:colOff>
      <xdr:row>16</xdr:row>
      <xdr:rowOff>28575</xdr:rowOff>
    </xdr:from>
    <xdr:to>
      <xdr:col>1</xdr:col>
      <xdr:colOff>638175</xdr:colOff>
      <xdr:row>17</xdr:row>
      <xdr:rowOff>0</xdr:rowOff>
    </xdr:to>
    <xdr:pic>
      <xdr:nvPicPr>
        <xdr:cNvPr id="840576" name="Picture 256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809875" y="5410200"/>
          <a:ext cx="333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304800</xdr:colOff>
      <xdr:row>8</xdr:row>
      <xdr:rowOff>28575</xdr:rowOff>
    </xdr:from>
    <xdr:to>
      <xdr:col>1</xdr:col>
      <xdr:colOff>676275</xdr:colOff>
      <xdr:row>8</xdr:row>
      <xdr:rowOff>381000</xdr:rowOff>
    </xdr:to>
    <xdr:pic>
      <xdr:nvPicPr>
        <xdr:cNvPr id="840577" name="Picture 3"/>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09875" y="1990725"/>
          <a:ext cx="3714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342900</xdr:colOff>
      <xdr:row>11</xdr:row>
      <xdr:rowOff>38100</xdr:rowOff>
    </xdr:from>
    <xdr:to>
      <xdr:col>1</xdr:col>
      <xdr:colOff>628650</xdr:colOff>
      <xdr:row>12</xdr:row>
      <xdr:rowOff>276225</xdr:rowOff>
    </xdr:to>
    <xdr:pic>
      <xdr:nvPicPr>
        <xdr:cNvPr id="840578" name="Picture 94"/>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7975" y="3486150"/>
          <a:ext cx="285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304800</xdr:colOff>
      <xdr:row>18</xdr:row>
      <xdr:rowOff>19050</xdr:rowOff>
    </xdr:from>
    <xdr:to>
      <xdr:col>1</xdr:col>
      <xdr:colOff>666750</xdr:colOff>
      <xdr:row>18</xdr:row>
      <xdr:rowOff>457200</xdr:rowOff>
    </xdr:to>
    <xdr:pic>
      <xdr:nvPicPr>
        <xdr:cNvPr id="840579" name="Picture 19"/>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809875" y="6391275"/>
          <a:ext cx="3619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361950</xdr:colOff>
      <xdr:row>25</xdr:row>
      <xdr:rowOff>38100</xdr:rowOff>
    </xdr:from>
    <xdr:to>
      <xdr:col>1</xdr:col>
      <xdr:colOff>619125</xdr:colOff>
      <xdr:row>25</xdr:row>
      <xdr:rowOff>409575</xdr:rowOff>
    </xdr:to>
    <xdr:pic>
      <xdr:nvPicPr>
        <xdr:cNvPr id="840580" name="Picture 66"/>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867025" y="9877425"/>
          <a:ext cx="2571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6</xdr:col>
      <xdr:colOff>38100</xdr:colOff>
      <xdr:row>8</xdr:row>
      <xdr:rowOff>104775</xdr:rowOff>
    </xdr:from>
    <xdr:to>
      <xdr:col>6</xdr:col>
      <xdr:colOff>828675</xdr:colOff>
      <xdr:row>8</xdr:row>
      <xdr:rowOff>400050</xdr:rowOff>
    </xdr:to>
    <xdr:pic>
      <xdr:nvPicPr>
        <xdr:cNvPr id="840581" name="Picture 7017"/>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953375" y="2066925"/>
          <a:ext cx="790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6</xdr:row>
      <xdr:rowOff>19050</xdr:rowOff>
    </xdr:from>
    <xdr:to>
      <xdr:col>6</xdr:col>
      <xdr:colOff>628650</xdr:colOff>
      <xdr:row>6</xdr:row>
      <xdr:rowOff>457200</xdr:rowOff>
    </xdr:to>
    <xdr:pic>
      <xdr:nvPicPr>
        <xdr:cNvPr id="840582" name="Picture 2687"/>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029575" y="1066800"/>
          <a:ext cx="5143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314325</xdr:colOff>
      <xdr:row>7</xdr:row>
      <xdr:rowOff>28575</xdr:rowOff>
    </xdr:from>
    <xdr:to>
      <xdr:col>1</xdr:col>
      <xdr:colOff>704850</xdr:colOff>
      <xdr:row>7</xdr:row>
      <xdr:rowOff>352425</xdr:rowOff>
    </xdr:to>
    <xdr:pic>
      <xdr:nvPicPr>
        <xdr:cNvPr id="840583" name="Picture 16767"/>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819400" y="1571625"/>
          <a:ext cx="390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7</xdr:row>
      <xdr:rowOff>57150</xdr:rowOff>
    </xdr:from>
    <xdr:to>
      <xdr:col>6</xdr:col>
      <xdr:colOff>847725</xdr:colOff>
      <xdr:row>7</xdr:row>
      <xdr:rowOff>352425</xdr:rowOff>
    </xdr:to>
    <xdr:pic>
      <xdr:nvPicPr>
        <xdr:cNvPr id="840584" name="Picture 2682"/>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924800" y="1600200"/>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247650</xdr:colOff>
      <xdr:row>16</xdr:row>
      <xdr:rowOff>219075</xdr:rowOff>
    </xdr:from>
    <xdr:to>
      <xdr:col>12</xdr:col>
      <xdr:colOff>552450</xdr:colOff>
      <xdr:row>29</xdr:row>
      <xdr:rowOff>9525</xdr:rowOff>
    </xdr:to>
    <xdr:pic>
      <xdr:nvPicPr>
        <xdr:cNvPr id="840585" name="Рисунок 25" descr="кАРТИНКА ВОДОСТОКА.jpg"/>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8162925" y="5600700"/>
          <a:ext cx="5581650" cy="576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257175</xdr:colOff>
      <xdr:row>9</xdr:row>
      <xdr:rowOff>38100</xdr:rowOff>
    </xdr:from>
    <xdr:to>
      <xdr:col>6</xdr:col>
      <xdr:colOff>590550</xdr:colOff>
      <xdr:row>9</xdr:row>
      <xdr:rowOff>428625</xdr:rowOff>
    </xdr:to>
    <xdr:pic>
      <xdr:nvPicPr>
        <xdr:cNvPr id="840586" name="Рисунок 26" descr="47511d4f113b29af7f2662e6449e818e.jpg"/>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8172450" y="2495550"/>
          <a:ext cx="3333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8.xml"/><Relationship Id="rId1" Type="http://schemas.openxmlformats.org/officeDocument/2006/relationships/printerSettings" Target="../printerSettings/printerSettings28.bin"/><Relationship Id="rId5" Type="http://schemas.openxmlformats.org/officeDocument/2006/relationships/comments" Target="../comments3.xml"/><Relationship Id="rId4" Type="http://schemas.openxmlformats.org/officeDocument/2006/relationships/vmlDrawing" Target="../drawings/vmlDrawing30.v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19.xml"/><Relationship Id="rId1" Type="http://schemas.openxmlformats.org/officeDocument/2006/relationships/printerSettings" Target="../printerSettings/printerSettings30.bin"/><Relationship Id="rId5" Type="http://schemas.openxmlformats.org/officeDocument/2006/relationships/comments" Target="../comments4.xml"/><Relationship Id="rId4" Type="http://schemas.openxmlformats.org/officeDocument/2006/relationships/vmlDrawing" Target="../drawings/vmlDrawing33.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32.bin"/><Relationship Id="rId4" Type="http://schemas.openxmlformats.org/officeDocument/2006/relationships/comments" Target="../comments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3.xml"/><Relationship Id="rId1" Type="http://schemas.openxmlformats.org/officeDocument/2006/relationships/printerSettings" Target="../printerSettings/printerSettings36.bin"/><Relationship Id="rId5" Type="http://schemas.openxmlformats.org/officeDocument/2006/relationships/comments" Target="../comments6.xml"/><Relationship Id="rId4" Type="http://schemas.openxmlformats.org/officeDocument/2006/relationships/vmlDrawing" Target="../drawings/vmlDrawing41.v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6.xml"/><Relationship Id="rId1" Type="http://schemas.openxmlformats.org/officeDocument/2006/relationships/printerSettings" Target="../printerSettings/printerSettings39.bin"/><Relationship Id="rId5" Type="http://schemas.openxmlformats.org/officeDocument/2006/relationships/comments" Target="../comments7.xml"/><Relationship Id="rId4" Type="http://schemas.openxmlformats.org/officeDocument/2006/relationships/vmlDrawing" Target="../drawings/vmlDrawing45.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2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2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3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3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46.bin"/><Relationship Id="rId1" Type="http://schemas.openxmlformats.org/officeDocument/2006/relationships/hyperlink" Target="http://www.grandline.ru/shop" TargetMode="External"/><Relationship Id="rId4" Type="http://schemas.openxmlformats.org/officeDocument/2006/relationships/vmlDrawing" Target="../drawings/vmlDrawing52.v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3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vmlDrawing" Target="../drawings/vmlDrawing55.vml"/><Relationship Id="rId1" Type="http://schemas.openxmlformats.org/officeDocument/2006/relationships/printerSettings" Target="../printerSettings/printerSettings49.bin"/><Relationship Id="rId4" Type="http://schemas.openxmlformats.org/officeDocument/2006/relationships/comments" Target="../comments8.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www.grandline.ru/uploads/files/prajsi/prais_na_instrument.pdf" TargetMode="External"/><Relationship Id="rId2" Type="http://schemas.openxmlformats.org/officeDocument/2006/relationships/hyperlink" Target="http://www.grandline.ru/shop/drugie_tovary/krinstrument/instrumenty-dlya-raboty-s-ograzhdeniyami/benzobur-ada-grounddrill-2-v-komplekte-so-shnekom-drill-150/" TargetMode="External"/><Relationship Id="rId1" Type="http://schemas.openxmlformats.org/officeDocument/2006/relationships/hyperlink" Target="http://www.grandline.ru/shop/drugie_tovary/krinstrument/instrumenty-dlya-raboty-s-metallocherepicej-profnastilom/nasadka-na-drel-dlya-rezki-metalla/" TargetMode="External"/><Relationship Id="rId5" Type="http://schemas.openxmlformats.org/officeDocument/2006/relationships/vmlDrawing" Target="../drawings/vmlDrawing58.vm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3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vmlDrawing" Target="../drawings/vmlDrawing8.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AA153"/>
  <sheetViews>
    <sheetView tabSelected="1" zoomScale="85" zoomScaleNormal="85" workbookViewId="0">
      <selection activeCell="D3" sqref="D3"/>
    </sheetView>
  </sheetViews>
  <sheetFormatPr defaultRowHeight="12.75"/>
  <cols>
    <col min="1" max="2" width="29.42578125" style="1" customWidth="1"/>
    <col min="3" max="3" width="5.42578125" style="1" customWidth="1"/>
    <col min="4" max="4" width="6.7109375" style="1" customWidth="1"/>
    <col min="5" max="5" width="31.28515625" style="1" customWidth="1"/>
    <col min="6" max="6" width="29.42578125" style="1" customWidth="1"/>
    <col min="7" max="7" width="5.42578125" style="1" customWidth="1"/>
    <col min="8" max="9" width="1.42578125" style="1" customWidth="1"/>
    <col min="10" max="10" width="26.85546875" style="1" customWidth="1"/>
    <col min="11" max="11" width="31.7109375" style="1" customWidth="1"/>
    <col min="12" max="19" width="3.42578125" style="30" customWidth="1"/>
    <col min="20" max="20" width="29.85546875" style="1" customWidth="1"/>
    <col min="21" max="21" width="24.28515625" style="1" customWidth="1"/>
    <col min="22" max="27" width="3.28515625" style="6" customWidth="1"/>
    <col min="28" max="16384" width="9.140625" style="1"/>
  </cols>
  <sheetData>
    <row r="1" spans="1:27" ht="27.75" thickBot="1">
      <c r="A1" s="546"/>
      <c r="E1" s="1235"/>
      <c r="F1" s="1">
        <f>F4</f>
        <v>0</v>
      </c>
      <c r="J1" s="1250" t="s">
        <v>0</v>
      </c>
      <c r="K1" s="1250"/>
      <c r="L1" s="1250"/>
      <c r="M1" s="1250"/>
      <c r="N1" s="1250"/>
      <c r="O1" s="1250"/>
      <c r="P1" s="1250"/>
      <c r="Q1" s="1250"/>
      <c r="R1" s="1250"/>
      <c r="S1" s="1250"/>
      <c r="T1" s="1250"/>
      <c r="U1" s="1250"/>
      <c r="V1" s="1250"/>
      <c r="W1" s="1250"/>
      <c r="X1" s="1250"/>
      <c r="Y1" s="1250"/>
      <c r="Z1" s="1250"/>
      <c r="AA1" s="1250"/>
    </row>
    <row r="2" spans="1:27">
      <c r="E2" s="1233"/>
      <c r="F2" s="3"/>
      <c r="I2" s="4"/>
      <c r="J2" s="5" t="s">
        <v>1</v>
      </c>
      <c r="K2" s="6" t="s">
        <v>2</v>
      </c>
      <c r="L2" s="1251" t="s">
        <v>3</v>
      </c>
      <c r="M2" s="1251"/>
      <c r="N2" s="1251"/>
      <c r="O2" s="1251"/>
      <c r="P2" s="1251"/>
      <c r="Q2" s="1251"/>
      <c r="R2" s="1251"/>
      <c r="S2" s="1251"/>
      <c r="T2" s="5" t="s">
        <v>4</v>
      </c>
      <c r="U2" s="7" t="s">
        <v>2</v>
      </c>
      <c r="V2" s="1251" t="s">
        <v>3</v>
      </c>
      <c r="W2" s="1251"/>
      <c r="X2" s="1251"/>
      <c r="Y2" s="1251"/>
      <c r="Z2" s="1251"/>
      <c r="AA2" s="1251"/>
    </row>
    <row r="3" spans="1:27">
      <c r="E3" s="1234"/>
      <c r="F3" s="9"/>
      <c r="I3" s="4"/>
      <c r="J3" s="10" t="s">
        <v>5</v>
      </c>
      <c r="K3" s="11" t="s">
        <v>6</v>
      </c>
      <c r="L3" s="12">
        <v>32</v>
      </c>
      <c r="M3" s="12"/>
      <c r="N3" s="12"/>
      <c r="O3" s="12"/>
      <c r="P3" s="12"/>
      <c r="Q3" s="12"/>
      <c r="R3" s="12"/>
      <c r="S3" s="12"/>
      <c r="T3" s="10" t="s">
        <v>7</v>
      </c>
      <c r="U3" s="14" t="s">
        <v>6557</v>
      </c>
      <c r="V3" s="15">
        <v>30</v>
      </c>
      <c r="W3" s="33">
        <v>38</v>
      </c>
      <c r="X3" s="15"/>
      <c r="Y3" s="15"/>
      <c r="Z3" s="15"/>
    </row>
    <row r="4" spans="1:27" ht="25.5" customHeight="1">
      <c r="C4" s="16"/>
      <c r="D4" s="16"/>
      <c r="E4" s="16"/>
      <c r="F4" s="16"/>
      <c r="G4" s="16"/>
      <c r="I4" s="4"/>
      <c r="J4" s="10" t="s">
        <v>8</v>
      </c>
      <c r="K4" s="11" t="s">
        <v>9</v>
      </c>
      <c r="L4" s="12">
        <v>15</v>
      </c>
      <c r="M4" s="12"/>
      <c r="N4" s="12"/>
      <c r="O4" s="12"/>
      <c r="P4" s="12"/>
      <c r="Q4" s="12"/>
      <c r="R4" s="12"/>
      <c r="S4" s="12"/>
      <c r="T4" s="10" t="s">
        <v>10</v>
      </c>
      <c r="U4" s="14" t="s">
        <v>11</v>
      </c>
      <c r="V4" s="15">
        <v>5</v>
      </c>
      <c r="W4" s="15">
        <v>6</v>
      </c>
      <c r="X4" s="15">
        <v>29</v>
      </c>
      <c r="Y4" s="15">
        <v>30</v>
      </c>
      <c r="Z4" s="15">
        <v>39</v>
      </c>
    </row>
    <row r="5" spans="1:27" ht="23.25" customHeight="1" thickBot="1">
      <c r="A5" s="1252" t="s">
        <v>4196</v>
      </c>
      <c r="B5" s="1252"/>
      <c r="C5" s="1252"/>
      <c r="D5" s="1252"/>
      <c r="E5" s="1252"/>
      <c r="F5" s="1252"/>
      <c r="G5" s="1252"/>
      <c r="I5" s="4"/>
      <c r="J5" s="1102" t="s">
        <v>6486</v>
      </c>
      <c r="K5" s="11" t="s">
        <v>176</v>
      </c>
      <c r="L5" s="12">
        <v>35</v>
      </c>
      <c r="T5" s="10" t="s">
        <v>14</v>
      </c>
      <c r="U5" s="14" t="s">
        <v>4413</v>
      </c>
      <c r="V5" s="15">
        <v>4</v>
      </c>
      <c r="W5" s="15">
        <v>29</v>
      </c>
      <c r="X5" s="15">
        <v>48</v>
      </c>
      <c r="Y5" s="15"/>
      <c r="Z5" s="15"/>
    </row>
    <row r="6" spans="1:27" ht="40.5" customHeight="1">
      <c r="A6" s="1235" t="s">
        <v>6950</v>
      </c>
      <c r="D6" s="1" t="s">
        <v>6952</v>
      </c>
      <c r="E6" s="1243" t="s">
        <v>6951</v>
      </c>
      <c r="F6" s="1197" t="s">
        <v>6930</v>
      </c>
      <c r="I6" s="4"/>
      <c r="J6" s="10" t="s">
        <v>12</v>
      </c>
      <c r="K6" s="11" t="s">
        <v>13</v>
      </c>
      <c r="L6" s="12">
        <v>4</v>
      </c>
      <c r="M6" s="12">
        <v>5</v>
      </c>
      <c r="N6" s="12">
        <v>6</v>
      </c>
      <c r="O6" s="12">
        <v>30</v>
      </c>
      <c r="P6" s="12">
        <v>31</v>
      </c>
      <c r="Q6" s="12">
        <v>39</v>
      </c>
      <c r="R6" s="12"/>
      <c r="S6" s="12"/>
      <c r="T6" s="5" t="s">
        <v>17</v>
      </c>
      <c r="U6" s="14"/>
      <c r="V6" s="15"/>
      <c r="W6" s="15"/>
      <c r="X6" s="15"/>
      <c r="Y6" s="15"/>
      <c r="Z6" s="15"/>
    </row>
    <row r="7" spans="1:27">
      <c r="I7" s="4"/>
      <c r="J7" s="10" t="s">
        <v>15</v>
      </c>
      <c r="K7" s="11" t="s">
        <v>16</v>
      </c>
      <c r="L7" s="12">
        <v>4</v>
      </c>
      <c r="M7" s="12">
        <v>12</v>
      </c>
      <c r="N7" s="12">
        <v>29</v>
      </c>
      <c r="O7" s="12">
        <v>48</v>
      </c>
      <c r="P7" s="12"/>
      <c r="Q7" s="12"/>
      <c r="R7" s="12"/>
      <c r="S7" s="12"/>
      <c r="T7" s="10" t="s">
        <v>19</v>
      </c>
      <c r="U7" s="14" t="s">
        <v>20</v>
      </c>
      <c r="V7" s="15">
        <v>19</v>
      </c>
      <c r="W7" s="15"/>
      <c r="X7" s="15"/>
      <c r="Y7" s="15"/>
      <c r="Z7" s="15"/>
    </row>
    <row r="8" spans="1:27" ht="15" customHeight="1">
      <c r="A8" s="1261"/>
      <c r="B8" s="1261"/>
      <c r="C8" s="1261"/>
      <c r="D8" s="854"/>
      <c r="E8" s="1256"/>
      <c r="F8" s="1256"/>
      <c r="G8" s="854"/>
      <c r="I8" s="4"/>
      <c r="J8" s="5" t="s">
        <v>18</v>
      </c>
      <c r="K8" s="11"/>
      <c r="L8" s="15"/>
      <c r="M8" s="15"/>
      <c r="N8" s="15"/>
      <c r="O8" s="15"/>
      <c r="P8" s="15"/>
      <c r="Q8" s="15"/>
      <c r="R8" s="15"/>
      <c r="S8" s="15"/>
      <c r="T8" s="10" t="s">
        <v>24</v>
      </c>
      <c r="U8" s="14" t="s">
        <v>25</v>
      </c>
      <c r="V8" s="15">
        <v>33</v>
      </c>
      <c r="W8" s="15"/>
      <c r="X8" s="15"/>
      <c r="Y8" s="15"/>
      <c r="Z8" s="15"/>
    </row>
    <row r="9" spans="1:27" ht="12.75" customHeight="1">
      <c r="A9" s="1262"/>
      <c r="B9" s="1262"/>
      <c r="C9" s="1262"/>
      <c r="D9" s="501"/>
      <c r="E9" s="1246"/>
      <c r="F9" s="1246"/>
      <c r="G9" s="23"/>
      <c r="I9" s="4"/>
      <c r="J9" s="10" t="s">
        <v>22</v>
      </c>
      <c r="K9" s="11" t="s">
        <v>23</v>
      </c>
      <c r="L9" s="15">
        <v>40</v>
      </c>
      <c r="M9" s="15">
        <v>42</v>
      </c>
      <c r="N9" s="15">
        <v>52</v>
      </c>
      <c r="O9" s="15"/>
      <c r="P9" s="15"/>
      <c r="Q9" s="15"/>
      <c r="R9" s="15"/>
      <c r="S9" s="15"/>
      <c r="T9" s="10" t="s">
        <v>28</v>
      </c>
      <c r="U9" s="14" t="s">
        <v>4407</v>
      </c>
      <c r="V9" s="15">
        <v>24</v>
      </c>
      <c r="W9" s="15">
        <v>25</v>
      </c>
      <c r="X9" s="15">
        <v>26</v>
      </c>
      <c r="Y9" s="15"/>
      <c r="Z9" s="15"/>
    </row>
    <row r="10" spans="1:27" ht="12.75" customHeight="1">
      <c r="A10" s="1262"/>
      <c r="B10" s="1262"/>
      <c r="C10" s="1262"/>
      <c r="D10" s="501"/>
      <c r="E10" s="1246"/>
      <c r="F10" s="1246"/>
      <c r="G10" s="23"/>
      <c r="I10" s="4"/>
      <c r="J10" s="10" t="s">
        <v>26</v>
      </c>
      <c r="K10" s="11" t="s">
        <v>27</v>
      </c>
      <c r="L10" s="15">
        <v>9</v>
      </c>
      <c r="M10" s="15"/>
      <c r="N10" s="15"/>
      <c r="O10" s="15"/>
      <c r="P10" s="15"/>
      <c r="Q10" s="15"/>
      <c r="R10" s="15"/>
      <c r="S10" s="15"/>
      <c r="T10" s="10" t="s">
        <v>32</v>
      </c>
      <c r="U10" s="14" t="s">
        <v>13</v>
      </c>
      <c r="V10" s="15">
        <v>4</v>
      </c>
      <c r="W10" s="15">
        <v>5</v>
      </c>
      <c r="X10" s="15">
        <v>6</v>
      </c>
      <c r="Y10" s="15">
        <v>30</v>
      </c>
      <c r="Z10" s="15">
        <v>31</v>
      </c>
      <c r="AA10" s="6">
        <v>39</v>
      </c>
    </row>
    <row r="11" spans="1:27" ht="12.75" customHeight="1">
      <c r="A11" s="1263"/>
      <c r="B11" s="1263"/>
      <c r="C11" s="1263"/>
      <c r="D11" s="855"/>
      <c r="E11" s="1247"/>
      <c r="F11" s="1247"/>
      <c r="G11" s="855"/>
      <c r="I11" s="4"/>
      <c r="J11" s="10" t="s">
        <v>30</v>
      </c>
      <c r="K11" s="11" t="s">
        <v>31</v>
      </c>
      <c r="L11" s="18">
        <v>4</v>
      </c>
      <c r="M11" s="18">
        <v>7</v>
      </c>
      <c r="N11" s="18">
        <v>10</v>
      </c>
      <c r="O11" s="18">
        <v>11</v>
      </c>
      <c r="P11" s="18">
        <v>12</v>
      </c>
      <c r="Q11" s="18">
        <v>30</v>
      </c>
      <c r="R11" s="18">
        <v>32</v>
      </c>
      <c r="S11" s="18">
        <v>48</v>
      </c>
      <c r="T11" s="10" t="s">
        <v>34</v>
      </c>
      <c r="U11" s="14" t="s">
        <v>35</v>
      </c>
      <c r="V11" s="15">
        <v>7</v>
      </c>
      <c r="W11" s="15">
        <v>8</v>
      </c>
      <c r="X11" s="15"/>
      <c r="Y11" s="15"/>
      <c r="Z11" s="15"/>
    </row>
    <row r="12" spans="1:27">
      <c r="I12" s="4"/>
      <c r="J12" s="5" t="s">
        <v>33</v>
      </c>
      <c r="K12" s="11"/>
      <c r="L12" s="15"/>
      <c r="M12" s="15"/>
      <c r="N12" s="15"/>
      <c r="O12" s="15"/>
      <c r="P12" s="15"/>
      <c r="Q12" s="15"/>
      <c r="R12" s="15"/>
      <c r="S12" s="15"/>
      <c r="T12" s="10" t="s">
        <v>38</v>
      </c>
      <c r="U12" s="14" t="s">
        <v>39</v>
      </c>
      <c r="V12" s="15">
        <v>29</v>
      </c>
      <c r="W12" s="15">
        <v>31</v>
      </c>
      <c r="X12" s="15"/>
      <c r="Y12" s="15"/>
      <c r="Z12" s="15"/>
    </row>
    <row r="13" spans="1:27">
      <c r="A13" s="17"/>
      <c r="B13" s="17"/>
      <c r="C13" s="6" t="s">
        <v>3</v>
      </c>
      <c r="I13" s="4"/>
      <c r="J13" s="10" t="s">
        <v>36</v>
      </c>
      <c r="K13" s="11" t="s">
        <v>4403</v>
      </c>
      <c r="L13" s="15">
        <v>25</v>
      </c>
      <c r="M13" s="15">
        <v>26</v>
      </c>
      <c r="N13" s="15"/>
      <c r="O13" s="15"/>
      <c r="P13" s="15"/>
      <c r="Q13" s="15"/>
      <c r="R13" s="15"/>
      <c r="S13" s="15"/>
      <c r="T13" s="5" t="s">
        <v>41</v>
      </c>
      <c r="U13" s="14"/>
      <c r="V13" s="15"/>
      <c r="W13" s="15"/>
      <c r="X13" s="15"/>
      <c r="Y13" s="15"/>
      <c r="Z13" s="15"/>
    </row>
    <row r="14" spans="1:27" ht="18">
      <c r="A14" s="1253" t="s">
        <v>21</v>
      </c>
      <c r="B14" s="1253"/>
      <c r="C14" s="6">
        <v>2</v>
      </c>
      <c r="I14" s="4"/>
      <c r="J14" s="10" t="s">
        <v>40</v>
      </c>
      <c r="K14" s="11" t="s">
        <v>13</v>
      </c>
      <c r="L14" s="15">
        <v>4</v>
      </c>
      <c r="M14" s="15">
        <v>5</v>
      </c>
      <c r="N14" s="15">
        <v>6</v>
      </c>
      <c r="O14" s="15">
        <v>30</v>
      </c>
      <c r="P14" s="15">
        <v>31</v>
      </c>
      <c r="Q14" s="15">
        <v>39</v>
      </c>
      <c r="R14" s="15"/>
      <c r="S14" s="15"/>
      <c r="T14" s="19" t="s">
        <v>43</v>
      </c>
      <c r="U14" s="20" t="s">
        <v>44</v>
      </c>
      <c r="V14" s="6">
        <v>39</v>
      </c>
    </row>
    <row r="15" spans="1:27">
      <c r="I15" s="4"/>
      <c r="J15" s="10" t="s">
        <v>42</v>
      </c>
      <c r="K15" s="11" t="s">
        <v>4410</v>
      </c>
      <c r="L15" s="15">
        <v>30</v>
      </c>
      <c r="M15" s="15">
        <v>36</v>
      </c>
      <c r="N15" s="15"/>
      <c r="O15" s="15"/>
      <c r="P15" s="15"/>
      <c r="Q15" s="15"/>
      <c r="R15" s="15"/>
      <c r="S15" s="15"/>
      <c r="T15" s="1139" t="s">
        <v>6639</v>
      </c>
      <c r="U15" s="1138" t="s">
        <v>6640</v>
      </c>
      <c r="V15" s="6">
        <v>15</v>
      </c>
      <c r="W15" s="6">
        <v>16</v>
      </c>
      <c r="X15" s="6">
        <v>17</v>
      </c>
      <c r="Y15" s="6">
        <v>48</v>
      </c>
    </row>
    <row r="16" spans="1:27">
      <c r="A16" s="1253" t="s">
        <v>29</v>
      </c>
      <c r="B16" s="1253"/>
      <c r="C16" s="1257">
        <v>3</v>
      </c>
      <c r="I16" s="4"/>
      <c r="J16" s="10" t="s">
        <v>45</v>
      </c>
      <c r="K16" s="11" t="s">
        <v>46</v>
      </c>
      <c r="L16" s="15">
        <v>20</v>
      </c>
      <c r="M16" s="15">
        <v>21</v>
      </c>
      <c r="N16" s="15">
        <v>33</v>
      </c>
      <c r="O16" s="15"/>
      <c r="P16" s="15"/>
      <c r="Q16" s="15"/>
      <c r="R16" s="15"/>
      <c r="S16" s="15"/>
      <c r="T16" s="19" t="s">
        <v>47</v>
      </c>
      <c r="U16" s="20" t="s">
        <v>48</v>
      </c>
      <c r="V16" s="15">
        <v>50</v>
      </c>
    </row>
    <row r="17" spans="1:27">
      <c r="A17" s="1253"/>
      <c r="B17" s="1253"/>
      <c r="C17" s="1257"/>
      <c r="I17" s="4"/>
      <c r="J17" s="10" t="s">
        <v>49</v>
      </c>
      <c r="K17" s="11" t="s">
        <v>6</v>
      </c>
      <c r="L17" s="15">
        <v>32</v>
      </c>
      <c r="M17" s="15"/>
      <c r="N17" s="15"/>
      <c r="O17" s="15"/>
      <c r="P17" s="15"/>
      <c r="Q17" s="15"/>
      <c r="R17" s="15"/>
      <c r="S17" s="15"/>
      <c r="T17" s="19" t="s">
        <v>50</v>
      </c>
      <c r="U17" s="20" t="s">
        <v>48</v>
      </c>
      <c r="V17" s="15">
        <v>50</v>
      </c>
    </row>
    <row r="18" spans="1:27">
      <c r="D18" s="6"/>
      <c r="I18" s="4"/>
      <c r="J18" s="10" t="s">
        <v>51</v>
      </c>
      <c r="K18" s="11" t="s">
        <v>52</v>
      </c>
      <c r="L18" s="15">
        <v>40</v>
      </c>
      <c r="M18" s="15"/>
      <c r="N18" s="15"/>
      <c r="O18" s="15"/>
      <c r="P18" s="15"/>
      <c r="Q18" s="15"/>
      <c r="R18" s="15"/>
      <c r="S18" s="15"/>
      <c r="T18" s="10" t="s">
        <v>53</v>
      </c>
      <c r="U18" s="14" t="s">
        <v>54</v>
      </c>
      <c r="V18" s="15">
        <v>47</v>
      </c>
      <c r="W18" s="15"/>
      <c r="X18" s="15"/>
      <c r="Y18" s="15"/>
      <c r="Z18" s="15"/>
    </row>
    <row r="19" spans="1:27">
      <c r="D19" s="17"/>
      <c r="E19" s="17"/>
      <c r="F19" s="17"/>
      <c r="G19" s="6"/>
      <c r="I19" s="4"/>
      <c r="J19" s="10" t="s">
        <v>57</v>
      </c>
      <c r="K19" s="21" t="s">
        <v>58</v>
      </c>
      <c r="L19" s="15">
        <v>17</v>
      </c>
      <c r="M19" s="15"/>
      <c r="N19" s="15"/>
      <c r="O19" s="15"/>
      <c r="P19" s="15"/>
      <c r="Q19" s="15"/>
      <c r="R19" s="15"/>
      <c r="S19" s="15"/>
      <c r="T19" s="10" t="s">
        <v>59</v>
      </c>
      <c r="U19" s="11" t="s">
        <v>13</v>
      </c>
      <c r="V19" s="12">
        <v>4</v>
      </c>
      <c r="W19" s="12">
        <v>5</v>
      </c>
      <c r="X19" s="12">
        <v>6</v>
      </c>
      <c r="Y19" s="12">
        <v>30</v>
      </c>
      <c r="Z19" s="12">
        <v>31</v>
      </c>
      <c r="AA19" s="6">
        <v>39</v>
      </c>
    </row>
    <row r="20" spans="1:27">
      <c r="A20" s="17"/>
      <c r="B20" s="17"/>
      <c r="C20" s="17"/>
      <c r="D20" s="17"/>
      <c r="E20" s="17"/>
      <c r="F20" s="17"/>
      <c r="G20" s="6"/>
      <c r="I20" s="4"/>
      <c r="J20" s="10" t="s">
        <v>62</v>
      </c>
      <c r="K20" s="25" t="s">
        <v>63</v>
      </c>
      <c r="L20" s="15">
        <v>15</v>
      </c>
      <c r="M20" s="15">
        <v>16</v>
      </c>
      <c r="N20" s="15"/>
      <c r="O20" s="15"/>
      <c r="P20" s="15"/>
      <c r="Q20" s="15"/>
      <c r="R20" s="15"/>
      <c r="S20" s="15"/>
      <c r="T20" s="10" t="s">
        <v>64</v>
      </c>
      <c r="U20" s="11" t="s">
        <v>13</v>
      </c>
      <c r="V20" s="12">
        <v>4</v>
      </c>
      <c r="W20" s="12">
        <v>5</v>
      </c>
      <c r="X20" s="12">
        <v>6</v>
      </c>
      <c r="Y20" s="12">
        <v>30</v>
      </c>
      <c r="Z20" s="12">
        <v>31</v>
      </c>
      <c r="AA20" s="6">
        <v>39</v>
      </c>
    </row>
    <row r="21" spans="1:27">
      <c r="A21" s="17"/>
      <c r="B21" s="17"/>
      <c r="C21" s="17"/>
      <c r="D21" s="17"/>
      <c r="E21" s="17"/>
      <c r="F21" s="17"/>
      <c r="G21" s="6"/>
      <c r="I21" s="4"/>
      <c r="J21" s="10" t="s">
        <v>65</v>
      </c>
      <c r="K21" s="11" t="s">
        <v>176</v>
      </c>
      <c r="L21" s="15">
        <v>35</v>
      </c>
      <c r="M21" s="15"/>
      <c r="N21" s="15"/>
      <c r="O21" s="15"/>
      <c r="P21" s="15"/>
      <c r="Q21" s="15"/>
      <c r="R21" s="15"/>
      <c r="S21" s="15"/>
      <c r="T21" s="10" t="s">
        <v>67</v>
      </c>
      <c r="U21" s="11" t="s">
        <v>13</v>
      </c>
      <c r="V21" s="12">
        <v>4</v>
      </c>
      <c r="W21" s="12">
        <v>5</v>
      </c>
      <c r="X21" s="12">
        <v>6</v>
      </c>
      <c r="Y21" s="12">
        <v>30</v>
      </c>
      <c r="Z21" s="12">
        <v>31</v>
      </c>
      <c r="AA21" s="6">
        <v>39</v>
      </c>
    </row>
    <row r="22" spans="1:27">
      <c r="A22" s="17"/>
      <c r="B22" s="17"/>
      <c r="C22" s="17"/>
      <c r="D22" s="17"/>
      <c r="I22" s="4"/>
      <c r="J22" s="10" t="s">
        <v>69</v>
      </c>
      <c r="K22" s="11" t="s">
        <v>70</v>
      </c>
      <c r="L22" s="15">
        <v>44</v>
      </c>
      <c r="M22" s="15">
        <v>45</v>
      </c>
      <c r="N22" s="15"/>
      <c r="O22" s="15"/>
      <c r="P22" s="15"/>
      <c r="Q22" s="15"/>
      <c r="R22" s="15"/>
      <c r="S22" s="15"/>
      <c r="T22" s="10" t="s">
        <v>71</v>
      </c>
      <c r="U22" s="11" t="s">
        <v>72</v>
      </c>
      <c r="V22" s="12">
        <v>53</v>
      </c>
      <c r="W22" s="12"/>
      <c r="X22" s="12"/>
      <c r="Y22" s="12"/>
      <c r="Z22" s="12"/>
    </row>
    <row r="23" spans="1:27">
      <c r="A23" s="17"/>
      <c r="B23" s="17"/>
      <c r="C23" s="17"/>
      <c r="I23" s="4"/>
      <c r="J23" s="10" t="s">
        <v>74</v>
      </c>
      <c r="K23" s="11" t="s">
        <v>75</v>
      </c>
      <c r="L23" s="15">
        <v>43</v>
      </c>
      <c r="M23" s="15"/>
      <c r="N23" s="15"/>
      <c r="O23" s="15"/>
      <c r="P23" s="15"/>
      <c r="Q23" s="15"/>
      <c r="R23" s="15"/>
      <c r="S23" s="15"/>
      <c r="T23" s="10" t="s">
        <v>76</v>
      </c>
      <c r="U23" s="11" t="s">
        <v>13</v>
      </c>
      <c r="V23" s="12">
        <v>4</v>
      </c>
      <c r="W23" s="12">
        <v>5</v>
      </c>
      <c r="X23" s="12">
        <v>6</v>
      </c>
      <c r="Y23" s="12">
        <v>30</v>
      </c>
      <c r="Z23" s="12">
        <v>31</v>
      </c>
      <c r="AA23" s="6">
        <v>39</v>
      </c>
    </row>
    <row r="24" spans="1:27">
      <c r="A24" s="17"/>
      <c r="B24" s="17"/>
      <c r="C24" s="17"/>
      <c r="I24" s="4"/>
      <c r="J24" s="5" t="s">
        <v>79</v>
      </c>
      <c r="K24" s="11"/>
      <c r="L24" s="15"/>
      <c r="M24" s="15"/>
      <c r="N24" s="15"/>
      <c r="O24" s="15"/>
      <c r="P24" s="15"/>
      <c r="Q24" s="15"/>
      <c r="R24" s="15"/>
      <c r="S24" s="15"/>
      <c r="T24" s="10" t="s">
        <v>80</v>
      </c>
      <c r="U24" s="11" t="s">
        <v>13</v>
      </c>
      <c r="V24" s="12">
        <v>4</v>
      </c>
      <c r="W24" s="12">
        <v>5</v>
      </c>
      <c r="X24" s="12">
        <v>6</v>
      </c>
      <c r="Y24" s="12">
        <v>30</v>
      </c>
      <c r="Z24" s="12">
        <v>31</v>
      </c>
      <c r="AA24" s="6">
        <v>39</v>
      </c>
    </row>
    <row r="25" spans="1:27" ht="15.75">
      <c r="A25" s="1258" t="s">
        <v>55</v>
      </c>
      <c r="B25" s="1258"/>
      <c r="C25" s="6" t="s">
        <v>3</v>
      </c>
      <c r="E25" s="17"/>
      <c r="F25" s="17"/>
      <c r="G25" s="6"/>
      <c r="I25" s="4"/>
      <c r="J25" s="10" t="s">
        <v>83</v>
      </c>
      <c r="K25" s="11" t="s">
        <v>4404</v>
      </c>
      <c r="L25" s="15">
        <v>4</v>
      </c>
      <c r="M25" s="15">
        <v>5</v>
      </c>
      <c r="N25" s="15">
        <v>15</v>
      </c>
      <c r="O25" s="15">
        <v>48</v>
      </c>
      <c r="P25" s="15"/>
      <c r="Q25" s="15"/>
      <c r="R25" s="15"/>
      <c r="S25" s="15"/>
      <c r="T25" s="10" t="s">
        <v>84</v>
      </c>
      <c r="U25" s="11" t="s">
        <v>13</v>
      </c>
      <c r="V25" s="12">
        <v>4</v>
      </c>
      <c r="W25" s="12">
        <v>5</v>
      </c>
      <c r="X25" s="12">
        <v>6</v>
      </c>
      <c r="Y25" s="12">
        <v>30</v>
      </c>
      <c r="Z25" s="12">
        <v>31</v>
      </c>
      <c r="AA25" s="6">
        <v>39</v>
      </c>
    </row>
    <row r="26" spans="1:27" ht="15.75">
      <c r="A26" s="1249" t="s">
        <v>60</v>
      </c>
      <c r="B26" s="1249"/>
      <c r="C26" s="1259">
        <v>4</v>
      </c>
      <c r="E26" s="1258" t="s">
        <v>56</v>
      </c>
      <c r="F26" s="1258"/>
      <c r="G26" s="6" t="s">
        <v>3</v>
      </c>
      <c r="I26" s="4"/>
      <c r="J26" s="10" t="s">
        <v>87</v>
      </c>
      <c r="K26" s="11" t="s">
        <v>6487</v>
      </c>
      <c r="L26" s="15">
        <v>37</v>
      </c>
      <c r="M26" s="15"/>
      <c r="N26" s="15"/>
      <c r="O26" s="15"/>
      <c r="P26" s="15"/>
      <c r="Q26" s="15"/>
      <c r="R26" s="15"/>
      <c r="S26" s="15"/>
      <c r="T26" s="10" t="s">
        <v>89</v>
      </c>
      <c r="U26" s="11" t="s">
        <v>44</v>
      </c>
      <c r="V26" s="15">
        <v>39</v>
      </c>
      <c r="W26" s="15"/>
      <c r="X26" s="15"/>
      <c r="Y26" s="15"/>
      <c r="Z26" s="15"/>
    </row>
    <row r="27" spans="1:27" ht="25.5">
      <c r="A27" s="1249"/>
      <c r="B27" s="1249"/>
      <c r="C27" s="1259"/>
      <c r="E27" s="1249" t="s">
        <v>61</v>
      </c>
      <c r="F27" s="1249"/>
      <c r="G27" s="1254">
        <v>39</v>
      </c>
      <c r="I27" s="4"/>
      <c r="J27" s="13" t="s">
        <v>92</v>
      </c>
      <c r="K27" s="11" t="s">
        <v>13</v>
      </c>
      <c r="L27" s="15">
        <v>4</v>
      </c>
      <c r="M27" s="15">
        <v>5</v>
      </c>
      <c r="N27" s="15">
        <v>6</v>
      </c>
      <c r="O27" s="15">
        <v>30</v>
      </c>
      <c r="P27" s="15">
        <v>31</v>
      </c>
      <c r="Q27" s="6">
        <v>39</v>
      </c>
      <c r="R27" s="15"/>
      <c r="S27" s="15"/>
      <c r="T27" s="10" t="s">
        <v>93</v>
      </c>
      <c r="U27" s="14" t="s">
        <v>94</v>
      </c>
      <c r="V27" s="15">
        <v>30</v>
      </c>
      <c r="W27" s="15">
        <v>31</v>
      </c>
      <c r="X27" s="15">
        <v>39</v>
      </c>
      <c r="Y27" s="15"/>
      <c r="Z27" s="15"/>
    </row>
    <row r="28" spans="1:27">
      <c r="A28" s="1255" t="s">
        <v>68</v>
      </c>
      <c r="B28" s="1255"/>
      <c r="C28" s="23">
        <v>5</v>
      </c>
      <c r="E28" s="1249"/>
      <c r="F28" s="1249"/>
      <c r="G28" s="1254"/>
      <c r="I28" s="4"/>
      <c r="J28" s="5" t="s">
        <v>97</v>
      </c>
      <c r="K28" s="11"/>
      <c r="L28" s="15"/>
      <c r="M28" s="15"/>
      <c r="N28" s="15"/>
      <c r="O28" s="15"/>
      <c r="P28" s="15"/>
      <c r="Q28" s="15"/>
      <c r="R28" s="15"/>
      <c r="S28" s="15"/>
      <c r="T28" s="10" t="s">
        <v>98</v>
      </c>
      <c r="U28" s="11" t="s">
        <v>99</v>
      </c>
      <c r="V28" s="15">
        <v>4</v>
      </c>
      <c r="W28" s="15">
        <v>30</v>
      </c>
      <c r="X28" s="15">
        <v>31</v>
      </c>
      <c r="Y28" s="15">
        <v>39</v>
      </c>
      <c r="Z28" s="15"/>
    </row>
    <row r="29" spans="1:27">
      <c r="A29" s="1260" t="s">
        <v>73</v>
      </c>
      <c r="B29" s="1260"/>
      <c r="C29" s="23">
        <v>6</v>
      </c>
      <c r="D29" s="23"/>
      <c r="E29" s="1248" t="s">
        <v>5341</v>
      </c>
      <c r="F29" s="1248"/>
      <c r="G29" s="6">
        <v>40</v>
      </c>
      <c r="I29" s="4"/>
      <c r="J29" s="10" t="s">
        <v>101</v>
      </c>
      <c r="K29" s="11" t="s">
        <v>44</v>
      </c>
      <c r="L29" s="15">
        <v>39</v>
      </c>
      <c r="M29" s="15"/>
      <c r="N29" s="15"/>
      <c r="O29" s="15"/>
      <c r="P29" s="15"/>
      <c r="Q29" s="15"/>
      <c r="R29" s="15"/>
      <c r="S29" s="15"/>
      <c r="T29" s="10" t="s">
        <v>102</v>
      </c>
      <c r="U29" s="11" t="s">
        <v>99</v>
      </c>
      <c r="V29" s="15">
        <v>4</v>
      </c>
      <c r="W29" s="15">
        <v>30</v>
      </c>
      <c r="X29" s="15">
        <v>31</v>
      </c>
      <c r="Y29" s="15">
        <v>39</v>
      </c>
      <c r="Z29" s="15"/>
    </row>
    <row r="30" spans="1:27">
      <c r="A30" s="1245" t="s">
        <v>77</v>
      </c>
      <c r="B30" s="1245"/>
      <c r="C30" s="23">
        <v>7</v>
      </c>
      <c r="D30" s="23"/>
      <c r="E30" s="1248" t="s">
        <v>5342</v>
      </c>
      <c r="F30" s="1248"/>
      <c r="G30" s="6">
        <v>41</v>
      </c>
      <c r="I30" s="4"/>
      <c r="J30" s="10" t="s">
        <v>104</v>
      </c>
      <c r="K30" s="11" t="s">
        <v>105</v>
      </c>
      <c r="L30" s="15">
        <v>4</v>
      </c>
      <c r="M30" s="15">
        <v>6</v>
      </c>
      <c r="N30" s="15">
        <v>29</v>
      </c>
      <c r="O30" s="15"/>
      <c r="P30" s="15"/>
      <c r="Q30" s="15"/>
      <c r="R30" s="15"/>
      <c r="S30" s="15"/>
      <c r="T30" s="10" t="s">
        <v>106</v>
      </c>
      <c r="U30" s="11" t="s">
        <v>99</v>
      </c>
      <c r="V30" s="15">
        <v>4</v>
      </c>
      <c r="W30" s="15">
        <v>30</v>
      </c>
      <c r="X30" s="15">
        <v>31</v>
      </c>
      <c r="Y30" s="15">
        <v>39</v>
      </c>
      <c r="Z30" s="15"/>
    </row>
    <row r="31" spans="1:27">
      <c r="A31" s="1245" t="s">
        <v>81</v>
      </c>
      <c r="B31" s="1245"/>
      <c r="C31" s="23">
        <v>8</v>
      </c>
      <c r="D31" s="23"/>
      <c r="E31" s="1260" t="s">
        <v>78</v>
      </c>
      <c r="F31" s="1260"/>
      <c r="G31" s="6">
        <v>42</v>
      </c>
      <c r="I31" s="4"/>
      <c r="J31" s="10" t="s">
        <v>108</v>
      </c>
      <c r="K31" s="11" t="s">
        <v>109</v>
      </c>
      <c r="L31" s="15">
        <v>11</v>
      </c>
      <c r="M31" s="15"/>
      <c r="N31" s="15"/>
      <c r="O31" s="15"/>
      <c r="P31" s="15"/>
      <c r="Q31" s="15"/>
      <c r="R31" s="15"/>
      <c r="S31" s="15"/>
      <c r="T31" s="10" t="s">
        <v>110</v>
      </c>
      <c r="U31" s="11" t="s">
        <v>99</v>
      </c>
      <c r="V31" s="15">
        <v>4</v>
      </c>
      <c r="W31" s="15">
        <v>30</v>
      </c>
      <c r="X31" s="15">
        <v>31</v>
      </c>
      <c r="Y31" s="15">
        <v>39</v>
      </c>
      <c r="Z31" s="15"/>
    </row>
    <row r="32" spans="1:27">
      <c r="A32" s="1245" t="s">
        <v>85</v>
      </c>
      <c r="B32" s="1245"/>
      <c r="C32" s="23">
        <v>9</v>
      </c>
      <c r="D32" s="23"/>
      <c r="E32" s="1255" t="s">
        <v>82</v>
      </c>
      <c r="F32" s="1255"/>
      <c r="G32" s="6">
        <v>43</v>
      </c>
      <c r="I32" s="4"/>
      <c r="J32" s="10" t="s">
        <v>112</v>
      </c>
      <c r="K32" s="11" t="s">
        <v>209</v>
      </c>
      <c r="L32" s="15">
        <v>23</v>
      </c>
      <c r="M32" s="15"/>
      <c r="N32" s="15"/>
      <c r="O32" s="15"/>
      <c r="P32" s="15"/>
      <c r="Q32" s="15"/>
      <c r="R32" s="15"/>
      <c r="S32" s="15"/>
      <c r="T32" s="10" t="s">
        <v>113</v>
      </c>
      <c r="U32" s="14" t="s">
        <v>114</v>
      </c>
      <c r="V32" s="15">
        <v>30</v>
      </c>
      <c r="W32" s="15">
        <v>39</v>
      </c>
      <c r="X32" s="15"/>
      <c r="Y32" s="15"/>
      <c r="Z32" s="15"/>
    </row>
    <row r="33" spans="1:27">
      <c r="A33" s="1245" t="s">
        <v>90</v>
      </c>
      <c r="B33" s="1245"/>
      <c r="C33" s="23">
        <v>10</v>
      </c>
      <c r="D33" s="23"/>
      <c r="E33" s="1245" t="s">
        <v>86</v>
      </c>
      <c r="F33" s="1245"/>
      <c r="G33" s="6">
        <v>44</v>
      </c>
      <c r="I33" s="4"/>
      <c r="J33" s="10" t="s">
        <v>116</v>
      </c>
      <c r="K33" s="11" t="s">
        <v>13</v>
      </c>
      <c r="L33" s="15">
        <v>4</v>
      </c>
      <c r="M33" s="15">
        <v>5</v>
      </c>
      <c r="N33" s="15">
        <v>5</v>
      </c>
      <c r="O33" s="15">
        <v>30</v>
      </c>
      <c r="P33" s="15">
        <v>31</v>
      </c>
      <c r="Q33" s="15">
        <v>39</v>
      </c>
      <c r="R33" s="15"/>
      <c r="S33" s="15"/>
      <c r="T33" s="10" t="s">
        <v>117</v>
      </c>
      <c r="U33" s="14" t="s">
        <v>114</v>
      </c>
      <c r="V33" s="15">
        <v>30</v>
      </c>
      <c r="W33" s="15">
        <v>39</v>
      </c>
      <c r="X33" s="15"/>
      <c r="Y33" s="15"/>
      <c r="Z33" s="15"/>
    </row>
    <row r="34" spans="1:27">
      <c r="A34" s="1245" t="s">
        <v>95</v>
      </c>
      <c r="B34" s="1245"/>
      <c r="C34" s="23">
        <v>11</v>
      </c>
      <c r="D34" s="23"/>
      <c r="E34" s="1260" t="s">
        <v>91</v>
      </c>
      <c r="F34" s="1260"/>
      <c r="G34" s="6">
        <v>45</v>
      </c>
      <c r="I34" s="4"/>
      <c r="J34" s="10" t="s">
        <v>119</v>
      </c>
      <c r="K34" s="11" t="s">
        <v>120</v>
      </c>
      <c r="L34" s="15">
        <v>4</v>
      </c>
      <c r="M34" s="15">
        <v>6</v>
      </c>
      <c r="N34" s="15">
        <v>29</v>
      </c>
      <c r="O34" s="15">
        <v>30</v>
      </c>
      <c r="P34" s="15"/>
      <c r="Q34" s="15"/>
      <c r="R34" s="15"/>
      <c r="S34" s="15"/>
      <c r="T34" s="10" t="s">
        <v>121</v>
      </c>
      <c r="U34" s="14" t="s">
        <v>44</v>
      </c>
      <c r="V34" s="15">
        <v>39</v>
      </c>
      <c r="W34" s="15"/>
      <c r="X34" s="15"/>
      <c r="Y34" s="15"/>
      <c r="Z34" s="15"/>
    </row>
    <row r="35" spans="1:27">
      <c r="A35" s="1245" t="s">
        <v>100</v>
      </c>
      <c r="B35" s="1245"/>
      <c r="C35" s="23">
        <v>12</v>
      </c>
      <c r="D35" s="23"/>
      <c r="E35" s="1260" t="s">
        <v>96</v>
      </c>
      <c r="F35" s="1260"/>
      <c r="G35" s="6">
        <v>46</v>
      </c>
      <c r="I35" s="4"/>
      <c r="J35" s="10" t="s">
        <v>123</v>
      </c>
      <c r="K35" s="11" t="s">
        <v>124</v>
      </c>
      <c r="L35" s="15">
        <v>4</v>
      </c>
      <c r="M35" s="15">
        <v>5</v>
      </c>
      <c r="N35" s="15">
        <v>28</v>
      </c>
      <c r="O35" s="15"/>
      <c r="P35" s="15"/>
      <c r="Q35" s="15"/>
      <c r="R35" s="15"/>
      <c r="S35" s="15"/>
      <c r="T35" s="10" t="s">
        <v>125</v>
      </c>
      <c r="U35" s="11" t="s">
        <v>13</v>
      </c>
      <c r="V35" s="15">
        <v>4</v>
      </c>
      <c r="W35" s="15">
        <v>5</v>
      </c>
      <c r="X35" s="15">
        <v>6</v>
      </c>
      <c r="Y35" s="15">
        <v>30</v>
      </c>
      <c r="Z35" s="15">
        <v>31</v>
      </c>
      <c r="AA35" s="6">
        <v>39</v>
      </c>
    </row>
    <row r="36" spans="1:27">
      <c r="A36" s="1245" t="s">
        <v>103</v>
      </c>
      <c r="B36" s="1245"/>
      <c r="C36" s="23">
        <v>13</v>
      </c>
      <c r="D36" s="23"/>
      <c r="E36" s="17"/>
      <c r="F36" s="17"/>
      <c r="G36" s="17"/>
      <c r="I36" s="4"/>
      <c r="J36" s="5" t="s">
        <v>127</v>
      </c>
      <c r="K36" s="11"/>
      <c r="L36" s="15"/>
      <c r="M36" s="15"/>
      <c r="N36" s="15"/>
      <c r="O36" s="15"/>
      <c r="P36" s="15"/>
      <c r="Q36" s="15"/>
      <c r="R36" s="15"/>
      <c r="S36" s="15"/>
      <c r="T36" s="10" t="s">
        <v>128</v>
      </c>
      <c r="U36" s="11" t="s">
        <v>13</v>
      </c>
      <c r="V36" s="15">
        <v>4</v>
      </c>
      <c r="W36" s="15">
        <v>5</v>
      </c>
      <c r="X36" s="15">
        <v>6</v>
      </c>
      <c r="Y36" s="15">
        <v>30</v>
      </c>
      <c r="Z36" s="15">
        <v>31</v>
      </c>
      <c r="AA36" s="6">
        <v>39</v>
      </c>
    </row>
    <row r="37" spans="1:27">
      <c r="A37" s="1245" t="s">
        <v>107</v>
      </c>
      <c r="B37" s="1245"/>
      <c r="C37" s="23">
        <v>14</v>
      </c>
      <c r="D37" s="23"/>
      <c r="E37" s="17"/>
      <c r="F37" s="17"/>
      <c r="G37" s="17"/>
      <c r="I37" s="4"/>
      <c r="J37" s="10" t="s">
        <v>131</v>
      </c>
      <c r="K37" s="11" t="s">
        <v>132</v>
      </c>
      <c r="L37" s="15">
        <v>42</v>
      </c>
      <c r="M37" s="15"/>
      <c r="N37" s="15"/>
      <c r="O37" s="15"/>
      <c r="P37" s="15"/>
      <c r="Q37" s="15"/>
      <c r="R37" s="15"/>
      <c r="S37" s="15"/>
      <c r="T37" s="5" t="s">
        <v>133</v>
      </c>
      <c r="U37" s="14"/>
      <c r="V37" s="15"/>
      <c r="W37" s="15"/>
      <c r="X37" s="15"/>
      <c r="Y37" s="15"/>
      <c r="Z37" s="15"/>
    </row>
    <row r="38" spans="1:27">
      <c r="A38" s="1245" t="s">
        <v>111</v>
      </c>
      <c r="B38" s="1245"/>
      <c r="C38" s="23">
        <v>15</v>
      </c>
      <c r="D38" s="23"/>
      <c r="E38" s="17"/>
      <c r="F38" s="17"/>
      <c r="G38" s="17"/>
      <c r="I38" s="4"/>
      <c r="J38" s="10" t="s">
        <v>135</v>
      </c>
      <c r="K38" s="11" t="s">
        <v>136</v>
      </c>
      <c r="L38" s="15">
        <v>40</v>
      </c>
      <c r="M38" s="15">
        <v>41</v>
      </c>
      <c r="N38" s="15"/>
      <c r="O38" s="15"/>
      <c r="P38" s="15"/>
      <c r="Q38" s="15"/>
      <c r="R38" s="15"/>
      <c r="S38" s="15"/>
      <c r="T38" s="10" t="s">
        <v>137</v>
      </c>
      <c r="U38" s="14" t="s">
        <v>138</v>
      </c>
      <c r="V38" s="15">
        <v>49</v>
      </c>
      <c r="W38" s="15"/>
      <c r="X38" s="15"/>
      <c r="Y38" s="15"/>
      <c r="Z38" s="15"/>
    </row>
    <row r="39" spans="1:27">
      <c r="A39" s="1245" t="s">
        <v>115</v>
      </c>
      <c r="B39" s="1245"/>
      <c r="C39" s="23">
        <v>16</v>
      </c>
      <c r="D39" s="23"/>
      <c r="E39" s="17"/>
      <c r="F39" s="17"/>
      <c r="G39" s="17"/>
      <c r="I39" s="4"/>
      <c r="J39" s="10" t="s">
        <v>140</v>
      </c>
      <c r="K39" s="11" t="s">
        <v>4411</v>
      </c>
      <c r="L39" s="15">
        <v>39</v>
      </c>
      <c r="M39" s="15">
        <v>48</v>
      </c>
      <c r="N39" s="15"/>
      <c r="O39" s="15"/>
      <c r="P39" s="15"/>
      <c r="Q39" s="15"/>
      <c r="R39" s="15"/>
      <c r="S39" s="15"/>
      <c r="T39" s="19" t="s">
        <v>143</v>
      </c>
      <c r="U39" s="26" t="s">
        <v>132</v>
      </c>
      <c r="V39" s="27">
        <v>42</v>
      </c>
      <c r="W39" s="27"/>
      <c r="X39" s="27"/>
      <c r="Y39" s="27"/>
      <c r="Z39" s="27"/>
    </row>
    <row r="40" spans="1:27">
      <c r="A40" s="1245" t="s">
        <v>118</v>
      </c>
      <c r="B40" s="1245"/>
      <c r="C40" s="23">
        <v>17</v>
      </c>
      <c r="D40" s="23"/>
      <c r="E40" s="17"/>
      <c r="F40" s="17"/>
      <c r="G40" s="17"/>
      <c r="I40" s="4"/>
      <c r="J40" s="5" t="s">
        <v>142</v>
      </c>
      <c r="K40" s="11"/>
      <c r="L40" s="15"/>
      <c r="M40" s="15"/>
      <c r="N40" s="15"/>
      <c r="O40" s="15"/>
      <c r="P40" s="15"/>
      <c r="Q40" s="15"/>
      <c r="R40" s="15"/>
      <c r="S40" s="15"/>
      <c r="T40" s="5" t="s">
        <v>147</v>
      </c>
      <c r="U40" s="14"/>
      <c r="V40" s="15"/>
      <c r="W40" s="15"/>
      <c r="X40" s="15"/>
      <c r="Y40" s="15"/>
      <c r="Z40" s="15"/>
    </row>
    <row r="41" spans="1:27">
      <c r="A41" s="1245" t="s">
        <v>122</v>
      </c>
      <c r="B41" s="1245"/>
      <c r="C41" s="23">
        <v>18</v>
      </c>
      <c r="D41" s="23"/>
      <c r="E41" s="17"/>
      <c r="F41" s="17"/>
      <c r="G41" s="17"/>
      <c r="I41" s="4"/>
      <c r="J41" s="10" t="s">
        <v>145</v>
      </c>
      <c r="K41" s="11" t="s">
        <v>146</v>
      </c>
      <c r="L41" s="15">
        <v>47</v>
      </c>
      <c r="M41" s="15">
        <v>49</v>
      </c>
      <c r="N41" s="15"/>
      <c r="O41" s="15"/>
      <c r="P41" s="15"/>
      <c r="Q41" s="15"/>
      <c r="R41" s="15"/>
      <c r="S41" s="15"/>
      <c r="T41" s="10" t="s">
        <v>150</v>
      </c>
      <c r="U41" s="14" t="s">
        <v>6</v>
      </c>
      <c r="V41" s="15">
        <v>32</v>
      </c>
      <c r="W41" s="15"/>
      <c r="X41" s="15"/>
      <c r="Y41" s="15"/>
      <c r="Z41" s="15"/>
    </row>
    <row r="42" spans="1:27">
      <c r="A42" s="1245" t="s">
        <v>126</v>
      </c>
      <c r="B42" s="1245"/>
      <c r="C42" s="23">
        <v>19</v>
      </c>
      <c r="D42" s="17"/>
      <c r="E42" s="17"/>
      <c r="F42" s="17"/>
      <c r="G42" s="17"/>
      <c r="I42" s="4"/>
      <c r="J42" s="10" t="s">
        <v>148</v>
      </c>
      <c r="K42" s="11" t="s">
        <v>149</v>
      </c>
      <c r="L42" s="15">
        <v>7</v>
      </c>
      <c r="M42" s="15"/>
      <c r="N42" s="15"/>
      <c r="O42" s="15"/>
      <c r="P42" s="15"/>
      <c r="Q42" s="15"/>
      <c r="R42" s="15"/>
      <c r="S42" s="15"/>
      <c r="T42" s="10" t="s">
        <v>154</v>
      </c>
      <c r="U42" s="14" t="s">
        <v>155</v>
      </c>
      <c r="V42" s="15">
        <v>30</v>
      </c>
      <c r="W42" s="15"/>
      <c r="X42" s="15"/>
      <c r="Y42" s="15"/>
      <c r="Z42" s="15"/>
    </row>
    <row r="43" spans="1:27" ht="15.75">
      <c r="A43" s="1245" t="s">
        <v>129</v>
      </c>
      <c r="B43" s="1245"/>
      <c r="C43" s="23">
        <v>20</v>
      </c>
      <c r="D43" s="17"/>
      <c r="E43" s="1258" t="s">
        <v>130</v>
      </c>
      <c r="F43" s="1258"/>
      <c r="G43" s="6" t="s">
        <v>3</v>
      </c>
      <c r="I43" s="4"/>
      <c r="J43" s="10" t="s">
        <v>152</v>
      </c>
      <c r="K43" s="11" t="s">
        <v>153</v>
      </c>
      <c r="L43" s="15">
        <v>6</v>
      </c>
      <c r="M43" s="15">
        <v>51</v>
      </c>
      <c r="N43" s="15">
        <v>52</v>
      </c>
      <c r="O43" s="15"/>
      <c r="P43" s="15"/>
      <c r="Q43" s="15"/>
      <c r="R43" s="15"/>
      <c r="S43" s="15"/>
      <c r="T43" s="10" t="s">
        <v>158</v>
      </c>
      <c r="U43" s="11" t="s">
        <v>13</v>
      </c>
      <c r="V43" s="15">
        <v>4</v>
      </c>
      <c r="W43" s="15">
        <v>5</v>
      </c>
      <c r="X43" s="15">
        <v>6</v>
      </c>
      <c r="Y43" s="15">
        <v>30</v>
      </c>
      <c r="Z43" s="15">
        <v>39</v>
      </c>
    </row>
    <row r="44" spans="1:27" ht="12.75" customHeight="1">
      <c r="A44" s="1266" t="s">
        <v>4335</v>
      </c>
      <c r="B44" s="1266"/>
      <c r="C44" s="23">
        <v>21</v>
      </c>
      <c r="D44" s="17"/>
      <c r="E44" s="1255" t="s">
        <v>134</v>
      </c>
      <c r="F44" s="1255"/>
      <c r="G44" s="6">
        <v>47</v>
      </c>
      <c r="I44" s="4"/>
      <c r="J44" s="5" t="s">
        <v>157</v>
      </c>
      <c r="K44" s="11"/>
      <c r="L44" s="15"/>
      <c r="M44" s="15"/>
      <c r="N44" s="15"/>
      <c r="O44" s="15"/>
      <c r="P44" s="15"/>
      <c r="Q44" s="15"/>
      <c r="R44" s="15"/>
      <c r="S44" s="15"/>
      <c r="T44" s="10" t="s">
        <v>161</v>
      </c>
      <c r="U44" s="11" t="s">
        <v>13</v>
      </c>
      <c r="V44" s="15">
        <v>4</v>
      </c>
      <c r="W44" s="15">
        <v>5</v>
      </c>
      <c r="X44" s="15">
        <v>6</v>
      </c>
      <c r="Y44" s="15">
        <v>30</v>
      </c>
      <c r="Z44" s="15">
        <v>31</v>
      </c>
      <c r="AA44" s="6">
        <v>39</v>
      </c>
    </row>
    <row r="45" spans="1:27">
      <c r="A45" s="1266" t="s">
        <v>4336</v>
      </c>
      <c r="B45" s="1266"/>
      <c r="C45" s="23">
        <v>22</v>
      </c>
      <c r="E45" s="1255" t="s">
        <v>139</v>
      </c>
      <c r="F45" s="1255"/>
      <c r="G45" s="6">
        <v>48</v>
      </c>
      <c r="I45" s="4"/>
      <c r="J45" s="10" t="s">
        <v>159</v>
      </c>
      <c r="K45" s="11" t="s">
        <v>160</v>
      </c>
      <c r="L45" s="15">
        <v>45</v>
      </c>
      <c r="M45" s="15"/>
      <c r="N45" s="15"/>
      <c r="O45" s="15"/>
      <c r="P45" s="15"/>
      <c r="Q45" s="15"/>
      <c r="R45" s="15"/>
      <c r="S45" s="15"/>
      <c r="T45" s="10" t="s">
        <v>164</v>
      </c>
      <c r="U45" s="11" t="s">
        <v>13</v>
      </c>
      <c r="V45" s="15">
        <v>4</v>
      </c>
      <c r="W45" s="15">
        <v>5</v>
      </c>
      <c r="X45" s="15">
        <v>6</v>
      </c>
      <c r="Y45" s="15">
        <v>30</v>
      </c>
      <c r="Z45" s="15">
        <v>31</v>
      </c>
      <c r="AA45" s="6">
        <v>39</v>
      </c>
    </row>
    <row r="46" spans="1:27">
      <c r="A46" s="1248" t="s">
        <v>4337</v>
      </c>
      <c r="B46" s="1248"/>
      <c r="C46" s="23">
        <v>23</v>
      </c>
      <c r="E46" s="1265" t="s">
        <v>141</v>
      </c>
      <c r="F46" s="1265"/>
      <c r="G46" s="6">
        <v>49</v>
      </c>
      <c r="I46" s="4"/>
      <c r="J46" s="10" t="s">
        <v>162</v>
      </c>
      <c r="K46" s="11" t="s">
        <v>163</v>
      </c>
      <c r="L46" s="15">
        <v>4</v>
      </c>
      <c r="M46" s="15"/>
      <c r="N46" s="15"/>
      <c r="O46" s="15"/>
      <c r="P46" s="15"/>
      <c r="Q46" s="15"/>
      <c r="R46" s="15"/>
      <c r="S46" s="15"/>
      <c r="T46" s="10" t="s">
        <v>166</v>
      </c>
      <c r="U46" s="28" t="s">
        <v>149</v>
      </c>
      <c r="V46" s="6">
        <v>8</v>
      </c>
    </row>
    <row r="47" spans="1:27">
      <c r="A47" s="1248" t="s">
        <v>4338</v>
      </c>
      <c r="B47" s="1248"/>
      <c r="C47" s="23">
        <v>24</v>
      </c>
      <c r="E47" s="1267" t="s">
        <v>144</v>
      </c>
      <c r="F47" s="1267"/>
      <c r="G47" s="1257">
        <v>50</v>
      </c>
      <c r="I47" s="4"/>
      <c r="J47" s="19" t="s">
        <v>165</v>
      </c>
      <c r="K47" s="20" t="s">
        <v>48</v>
      </c>
      <c r="L47" s="15">
        <v>50</v>
      </c>
      <c r="M47" s="15"/>
      <c r="N47" s="15"/>
      <c r="O47" s="15"/>
      <c r="P47" s="15"/>
      <c r="Q47" s="15"/>
      <c r="R47" s="15"/>
      <c r="S47" s="15"/>
      <c r="T47" s="10" t="s">
        <v>168</v>
      </c>
      <c r="U47" s="14" t="s">
        <v>169</v>
      </c>
      <c r="V47" s="15">
        <v>4</v>
      </c>
      <c r="W47" s="15">
        <v>7</v>
      </c>
      <c r="X47" s="15">
        <v>8</v>
      </c>
      <c r="Y47" s="15">
        <v>18</v>
      </c>
      <c r="Z47" s="15">
        <v>19</v>
      </c>
    </row>
    <row r="48" spans="1:27">
      <c r="A48" s="1248" t="s">
        <v>4339</v>
      </c>
      <c r="B48" s="1248"/>
      <c r="C48" s="23">
        <v>25</v>
      </c>
      <c r="E48" s="1267"/>
      <c r="F48" s="1267"/>
      <c r="G48" s="1257"/>
      <c r="I48" s="4"/>
      <c r="J48" s="10" t="s">
        <v>167</v>
      </c>
      <c r="K48" s="11" t="s">
        <v>13</v>
      </c>
      <c r="L48" s="15">
        <v>4</v>
      </c>
      <c r="M48" s="15">
        <v>5</v>
      </c>
      <c r="N48" s="15">
        <v>6</v>
      </c>
      <c r="O48" s="15">
        <v>30</v>
      </c>
      <c r="P48" s="15">
        <v>31</v>
      </c>
      <c r="Q48" s="15">
        <v>39</v>
      </c>
      <c r="R48" s="15"/>
      <c r="S48" s="15"/>
      <c r="T48" s="10" t="s">
        <v>171</v>
      </c>
      <c r="U48" s="14" t="s">
        <v>172</v>
      </c>
      <c r="V48" s="15">
        <v>4</v>
      </c>
      <c r="W48" s="15">
        <v>32</v>
      </c>
      <c r="X48" s="15"/>
      <c r="Y48" s="15"/>
      <c r="Z48" s="15"/>
    </row>
    <row r="49" spans="1:27">
      <c r="A49" s="1248" t="s">
        <v>4340</v>
      </c>
      <c r="B49" s="1248"/>
      <c r="C49" s="23">
        <v>26</v>
      </c>
      <c r="E49" s="1264" t="s">
        <v>151</v>
      </c>
      <c r="F49" s="1264"/>
      <c r="G49" s="6">
        <v>51</v>
      </c>
      <c r="I49" s="4"/>
      <c r="J49" s="10" t="s">
        <v>170</v>
      </c>
      <c r="K49" s="11" t="s">
        <v>13</v>
      </c>
      <c r="L49" s="15">
        <v>4</v>
      </c>
      <c r="M49" s="15">
        <v>5</v>
      </c>
      <c r="N49" s="15">
        <v>6</v>
      </c>
      <c r="O49" s="15">
        <v>30</v>
      </c>
      <c r="P49" s="15">
        <v>31</v>
      </c>
      <c r="Q49" s="15">
        <v>39</v>
      </c>
      <c r="R49" s="15"/>
      <c r="S49" s="15"/>
      <c r="T49" s="10" t="s">
        <v>174</v>
      </c>
      <c r="U49" s="14" t="s">
        <v>163</v>
      </c>
      <c r="V49" s="15">
        <v>4</v>
      </c>
      <c r="W49" s="15"/>
      <c r="X49" s="15"/>
      <c r="Y49" s="15"/>
      <c r="Z49" s="15"/>
    </row>
    <row r="50" spans="1:27">
      <c r="A50" s="1248" t="s">
        <v>4341</v>
      </c>
      <c r="B50" s="1248"/>
      <c r="C50" s="23">
        <v>27</v>
      </c>
      <c r="D50" s="17"/>
      <c r="E50" s="1264" t="s">
        <v>156</v>
      </c>
      <c r="F50" s="1264"/>
      <c r="G50" s="6">
        <v>52</v>
      </c>
      <c r="I50" s="4"/>
      <c r="J50" s="10" t="s">
        <v>173</v>
      </c>
      <c r="K50" s="11" t="s">
        <v>163</v>
      </c>
      <c r="L50" s="15">
        <v>4</v>
      </c>
      <c r="M50" s="15"/>
      <c r="N50" s="15"/>
      <c r="O50" s="15"/>
      <c r="P50" s="15"/>
      <c r="Q50" s="15"/>
      <c r="R50" s="15"/>
      <c r="S50" s="15"/>
      <c r="T50" s="10" t="s">
        <v>177</v>
      </c>
      <c r="U50" s="14" t="s">
        <v>25</v>
      </c>
      <c r="V50" s="15">
        <v>33</v>
      </c>
      <c r="W50" s="15"/>
      <c r="X50" s="15"/>
      <c r="Y50" s="15"/>
      <c r="Z50" s="15"/>
    </row>
    <row r="51" spans="1:27">
      <c r="A51" s="1248" t="s">
        <v>4342</v>
      </c>
      <c r="B51" s="1248"/>
      <c r="C51" s="6">
        <v>28</v>
      </c>
      <c r="D51" s="17"/>
      <c r="I51" s="4"/>
      <c r="J51" s="10" t="s">
        <v>175</v>
      </c>
      <c r="K51" s="11" t="s">
        <v>88</v>
      </c>
      <c r="L51" s="15">
        <v>36</v>
      </c>
      <c r="M51" s="15"/>
      <c r="N51" s="15"/>
      <c r="O51" s="15"/>
      <c r="P51" s="15"/>
      <c r="Q51" s="15"/>
      <c r="R51" s="15"/>
      <c r="S51" s="15"/>
      <c r="T51" s="10" t="s">
        <v>5344</v>
      </c>
      <c r="U51" s="14" t="s">
        <v>13</v>
      </c>
      <c r="V51" s="15">
        <v>4</v>
      </c>
      <c r="W51" s="15">
        <v>5</v>
      </c>
      <c r="X51" s="15">
        <v>6</v>
      </c>
      <c r="Y51" s="15">
        <v>30</v>
      </c>
      <c r="Z51" s="15">
        <v>31</v>
      </c>
      <c r="AA51" s="6">
        <v>39</v>
      </c>
    </row>
    <row r="52" spans="1:27">
      <c r="A52" s="916"/>
      <c r="B52" s="916"/>
      <c r="D52" s="17"/>
      <c r="G52" s="6"/>
      <c r="I52" s="4"/>
      <c r="J52" s="10" t="s">
        <v>180</v>
      </c>
      <c r="K52" s="11" t="s">
        <v>181</v>
      </c>
      <c r="L52" s="15">
        <v>14</v>
      </c>
      <c r="M52" s="15"/>
      <c r="N52" s="15"/>
      <c r="O52" s="15"/>
      <c r="P52" s="15"/>
      <c r="Q52" s="15"/>
      <c r="R52" s="15"/>
      <c r="S52" s="15"/>
      <c r="T52" s="10" t="s">
        <v>182</v>
      </c>
      <c r="U52" s="14" t="s">
        <v>183</v>
      </c>
      <c r="V52" s="15">
        <v>4</v>
      </c>
      <c r="W52" s="15">
        <v>5</v>
      </c>
      <c r="X52" s="15">
        <v>30</v>
      </c>
      <c r="Y52" s="15">
        <v>39</v>
      </c>
      <c r="Z52" s="15">
        <v>51</v>
      </c>
    </row>
    <row r="53" spans="1:27">
      <c r="A53" s="22"/>
      <c r="B53" s="22"/>
      <c r="C53" s="17"/>
      <c r="D53" s="17"/>
      <c r="G53" s="6"/>
      <c r="I53" s="4"/>
      <c r="J53" s="10" t="s">
        <v>186</v>
      </c>
      <c r="K53" s="11" t="s">
        <v>105</v>
      </c>
      <c r="L53" s="15">
        <v>4</v>
      </c>
      <c r="M53" s="15">
        <v>6</v>
      </c>
      <c r="N53" s="15">
        <v>29</v>
      </c>
      <c r="O53" s="15"/>
      <c r="P53" s="15"/>
      <c r="Q53" s="15"/>
      <c r="R53" s="15"/>
      <c r="S53" s="15"/>
      <c r="T53" s="10" t="s">
        <v>187</v>
      </c>
      <c r="U53" s="14" t="s">
        <v>27</v>
      </c>
      <c r="V53" s="15">
        <v>8</v>
      </c>
      <c r="W53" s="15"/>
      <c r="X53" s="15"/>
      <c r="Y53" s="15"/>
      <c r="Z53" s="15"/>
    </row>
    <row r="54" spans="1:27">
      <c r="A54" s="17"/>
      <c r="B54" s="17"/>
      <c r="C54" s="17"/>
      <c r="D54" s="17"/>
      <c r="G54" s="6"/>
      <c r="I54" s="4"/>
      <c r="J54" s="10" t="s">
        <v>188</v>
      </c>
      <c r="K54" s="11" t="s">
        <v>189</v>
      </c>
      <c r="L54" s="15">
        <v>6</v>
      </c>
      <c r="M54" s="15">
        <v>28</v>
      </c>
      <c r="N54" s="15">
        <v>48</v>
      </c>
      <c r="O54" s="15"/>
      <c r="P54" s="15"/>
      <c r="Q54" s="15"/>
      <c r="R54" s="15"/>
      <c r="S54" s="15"/>
      <c r="T54" s="5" t="s">
        <v>190</v>
      </c>
      <c r="U54" s="14"/>
      <c r="V54" s="15"/>
      <c r="W54" s="15"/>
      <c r="X54" s="15"/>
      <c r="Y54" s="15"/>
      <c r="Z54" s="15"/>
    </row>
    <row r="55" spans="1:27">
      <c r="A55" s="17"/>
      <c r="B55" s="17"/>
      <c r="C55" s="17"/>
      <c r="D55" s="17"/>
      <c r="G55" s="6"/>
      <c r="I55" s="4"/>
      <c r="J55" s="10" t="s">
        <v>191</v>
      </c>
      <c r="K55" s="29" t="s">
        <v>138</v>
      </c>
      <c r="L55" s="15">
        <v>49</v>
      </c>
      <c r="M55" s="15"/>
      <c r="O55" s="15"/>
      <c r="P55" s="15"/>
      <c r="Q55" s="15"/>
      <c r="R55" s="15"/>
      <c r="S55" s="15"/>
      <c r="T55" s="10" t="s">
        <v>192</v>
      </c>
      <c r="U55" s="14" t="s">
        <v>72</v>
      </c>
      <c r="V55" s="15">
        <v>53</v>
      </c>
      <c r="W55" s="15"/>
      <c r="X55" s="15"/>
      <c r="Y55" s="15"/>
      <c r="Z55" s="15"/>
    </row>
    <row r="56" spans="1:27">
      <c r="A56" s="17"/>
      <c r="B56" s="17"/>
      <c r="C56" s="17"/>
      <c r="D56" s="17"/>
      <c r="G56" s="6"/>
      <c r="I56" s="4"/>
      <c r="J56" s="10" t="s">
        <v>193</v>
      </c>
      <c r="K56" s="11" t="s">
        <v>5388</v>
      </c>
      <c r="L56" s="15">
        <v>30</v>
      </c>
      <c r="M56" s="15">
        <v>33</v>
      </c>
      <c r="N56" s="15">
        <v>47</v>
      </c>
      <c r="O56" s="15"/>
      <c r="P56" s="15"/>
      <c r="Q56" s="15"/>
      <c r="R56" s="15"/>
      <c r="S56" s="15"/>
      <c r="T56" s="10" t="s">
        <v>194</v>
      </c>
      <c r="U56" s="14" t="s">
        <v>72</v>
      </c>
      <c r="V56" s="15">
        <v>53</v>
      </c>
      <c r="W56" s="15"/>
      <c r="X56" s="15"/>
      <c r="Y56" s="15"/>
      <c r="Z56" s="15"/>
    </row>
    <row r="57" spans="1:27">
      <c r="A57" s="17"/>
      <c r="B57" s="17"/>
      <c r="C57" s="17"/>
      <c r="D57" s="17"/>
      <c r="E57" s="17"/>
      <c r="F57" s="17"/>
      <c r="G57" s="6"/>
      <c r="I57" s="4"/>
      <c r="J57" s="10" t="s">
        <v>195</v>
      </c>
      <c r="K57" s="11" t="s">
        <v>13</v>
      </c>
      <c r="L57" s="15">
        <v>4</v>
      </c>
      <c r="M57" s="15">
        <v>5</v>
      </c>
      <c r="N57" s="15">
        <v>6</v>
      </c>
      <c r="O57" s="15">
        <v>30</v>
      </c>
      <c r="P57" s="15">
        <v>31</v>
      </c>
      <c r="Q57" s="15">
        <v>39</v>
      </c>
      <c r="R57" s="15"/>
      <c r="S57" s="15"/>
      <c r="T57" s="5" t="s">
        <v>196</v>
      </c>
      <c r="U57" s="14"/>
      <c r="V57" s="15"/>
      <c r="W57" s="15"/>
      <c r="X57" s="15"/>
      <c r="Y57" s="15"/>
      <c r="Z57" s="15"/>
    </row>
    <row r="58" spans="1:27" ht="15.75">
      <c r="A58" s="17"/>
      <c r="B58" s="17"/>
      <c r="C58" s="17"/>
      <c r="D58" s="17"/>
      <c r="E58" s="1258" t="s">
        <v>179</v>
      </c>
      <c r="F58" s="1258"/>
      <c r="G58" s="6" t="s">
        <v>3</v>
      </c>
      <c r="I58" s="4"/>
      <c r="J58" s="10" t="s">
        <v>197</v>
      </c>
      <c r="K58" s="11" t="s">
        <v>4405</v>
      </c>
      <c r="L58" s="15">
        <v>28</v>
      </c>
      <c r="M58" s="15">
        <v>39</v>
      </c>
      <c r="N58" s="15"/>
      <c r="O58" s="15"/>
      <c r="P58" s="15"/>
      <c r="Q58" s="15"/>
      <c r="R58" s="15"/>
      <c r="S58" s="15"/>
      <c r="T58" s="10" t="s">
        <v>198</v>
      </c>
      <c r="U58" s="14" t="s">
        <v>199</v>
      </c>
      <c r="V58" s="15">
        <v>5</v>
      </c>
      <c r="W58" s="15">
        <v>30</v>
      </c>
      <c r="X58" s="15">
        <v>49</v>
      </c>
      <c r="Y58" s="15"/>
      <c r="Z58" s="15"/>
    </row>
    <row r="59" spans="1:27">
      <c r="D59" s="1257"/>
      <c r="E59" s="1268" t="s">
        <v>185</v>
      </c>
      <c r="F59" s="1268"/>
      <c r="G59" s="1254">
        <v>53</v>
      </c>
      <c r="I59" s="4"/>
      <c r="J59" s="10" t="s">
        <v>200</v>
      </c>
      <c r="K59" s="11" t="s">
        <v>4405</v>
      </c>
      <c r="L59" s="15">
        <v>28</v>
      </c>
      <c r="M59" s="15">
        <v>39</v>
      </c>
      <c r="N59" s="15"/>
      <c r="O59" s="15"/>
      <c r="P59" s="15"/>
      <c r="Q59" s="15"/>
      <c r="R59" s="15"/>
      <c r="S59" s="15"/>
      <c r="T59" s="10" t="s">
        <v>201</v>
      </c>
      <c r="U59" s="14" t="s">
        <v>202</v>
      </c>
      <c r="V59" s="15">
        <v>4</v>
      </c>
      <c r="W59" s="15">
        <v>5</v>
      </c>
      <c r="X59" s="15">
        <v>30</v>
      </c>
      <c r="Y59" s="15">
        <v>48</v>
      </c>
      <c r="Z59" s="15"/>
    </row>
    <row r="60" spans="1:27" ht="15.75">
      <c r="A60" s="1258" t="s">
        <v>178</v>
      </c>
      <c r="B60" s="1258"/>
      <c r="C60" s="6" t="s">
        <v>3</v>
      </c>
      <c r="D60" s="1257"/>
      <c r="E60" s="1268"/>
      <c r="F60" s="1268"/>
      <c r="G60" s="1254"/>
      <c r="I60" s="4"/>
      <c r="J60" s="10" t="s">
        <v>203</v>
      </c>
      <c r="K60" s="11" t="s">
        <v>4405</v>
      </c>
      <c r="L60" s="15">
        <v>28</v>
      </c>
      <c r="M60" s="15">
        <v>39</v>
      </c>
      <c r="N60" s="15"/>
      <c r="O60" s="15"/>
      <c r="P60" s="15"/>
      <c r="Q60" s="15"/>
      <c r="R60" s="15"/>
      <c r="S60" s="15"/>
      <c r="T60" s="5" t="s">
        <v>204</v>
      </c>
      <c r="U60" s="14"/>
      <c r="V60" s="15"/>
      <c r="W60" s="15"/>
      <c r="X60" s="15"/>
      <c r="Y60" s="15"/>
      <c r="Z60" s="15"/>
    </row>
    <row r="61" spans="1:27">
      <c r="A61" s="1255" t="s">
        <v>184</v>
      </c>
      <c r="B61" s="1255"/>
      <c r="C61" s="6">
        <v>29</v>
      </c>
      <c r="D61" s="6"/>
      <c r="E61" s="19"/>
      <c r="F61" s="19"/>
      <c r="G61" s="17"/>
      <c r="I61" s="4"/>
      <c r="J61" s="10" t="s">
        <v>207</v>
      </c>
      <c r="K61" s="11" t="s">
        <v>4406</v>
      </c>
      <c r="L61" s="15">
        <v>4</v>
      </c>
      <c r="M61" s="15">
        <v>7</v>
      </c>
      <c r="N61" s="15">
        <v>11</v>
      </c>
      <c r="O61" s="15">
        <v>12</v>
      </c>
      <c r="P61" s="15">
        <v>13</v>
      </c>
      <c r="Q61" s="15"/>
      <c r="R61" s="15"/>
      <c r="S61" s="15"/>
      <c r="T61" s="10" t="s">
        <v>208</v>
      </c>
      <c r="U61" s="14" t="s">
        <v>4408</v>
      </c>
      <c r="V61" s="15">
        <v>24</v>
      </c>
      <c r="W61" s="15"/>
      <c r="X61" s="15"/>
      <c r="Y61" s="15"/>
      <c r="Z61" s="15"/>
    </row>
    <row r="62" spans="1:27">
      <c r="A62" s="22"/>
      <c r="B62" s="22"/>
      <c r="C62" s="6"/>
      <c r="D62" s="1254"/>
      <c r="E62" s="17"/>
      <c r="F62" s="17"/>
      <c r="G62" s="6"/>
      <c r="I62" s="4"/>
      <c r="J62" s="10" t="s">
        <v>211</v>
      </c>
      <c r="K62" s="11" t="s">
        <v>212</v>
      </c>
      <c r="L62" s="18">
        <v>4</v>
      </c>
      <c r="M62" s="18">
        <v>5</v>
      </c>
      <c r="N62" s="18">
        <v>6</v>
      </c>
      <c r="O62" s="18">
        <v>15</v>
      </c>
      <c r="P62" s="18">
        <v>30</v>
      </c>
      <c r="Q62" s="18">
        <v>39</v>
      </c>
      <c r="R62" s="18">
        <v>41</v>
      </c>
      <c r="S62" s="15"/>
      <c r="T62" s="10" t="s">
        <v>213</v>
      </c>
      <c r="U62" s="14" t="s">
        <v>214</v>
      </c>
      <c r="V62" s="15">
        <v>6</v>
      </c>
      <c r="W62" s="15">
        <v>29</v>
      </c>
      <c r="X62" s="15"/>
      <c r="Y62" s="15"/>
      <c r="Z62" s="15"/>
    </row>
    <row r="63" spans="1:27">
      <c r="A63" s="17"/>
      <c r="B63" s="17"/>
      <c r="C63" s="6"/>
      <c r="D63" s="1254"/>
      <c r="E63" s="17"/>
      <c r="F63" s="17"/>
      <c r="G63" s="6"/>
      <c r="I63" s="4"/>
      <c r="J63" s="10" t="s">
        <v>215</v>
      </c>
      <c r="K63" s="11" t="s">
        <v>4412</v>
      </c>
      <c r="L63" s="15">
        <v>21</v>
      </c>
      <c r="M63" s="15"/>
      <c r="N63" s="15"/>
      <c r="O63" s="15"/>
      <c r="P63" s="15"/>
      <c r="Q63" s="15"/>
      <c r="R63" s="15"/>
      <c r="S63" s="18"/>
      <c r="T63" s="10" t="s">
        <v>216</v>
      </c>
      <c r="U63" s="14" t="s">
        <v>6488</v>
      </c>
      <c r="V63" s="15">
        <v>30</v>
      </c>
      <c r="W63" s="15">
        <v>36</v>
      </c>
      <c r="X63" s="15"/>
      <c r="Y63" s="15"/>
      <c r="Z63" s="15"/>
    </row>
    <row r="64" spans="1:27" ht="12.75" customHeight="1">
      <c r="A64" s="17"/>
      <c r="B64" s="17"/>
      <c r="C64" s="6"/>
      <c r="D64" s="6"/>
      <c r="E64" s="17"/>
      <c r="F64" s="17"/>
      <c r="G64" s="6"/>
      <c r="I64" s="4"/>
      <c r="J64" s="5" t="s">
        <v>218</v>
      </c>
      <c r="K64" s="11"/>
      <c r="L64" s="15"/>
      <c r="M64" s="15"/>
      <c r="N64" s="15"/>
      <c r="O64" s="15"/>
      <c r="P64" s="15"/>
      <c r="Q64" s="15"/>
      <c r="R64" s="15"/>
      <c r="S64" s="15"/>
      <c r="T64" s="1144" t="s">
        <v>6631</v>
      </c>
      <c r="U64" s="14" t="s">
        <v>6632</v>
      </c>
      <c r="V64" s="15">
        <v>34</v>
      </c>
      <c r="W64" s="15">
        <v>35</v>
      </c>
      <c r="X64" s="15"/>
      <c r="Y64" s="15"/>
      <c r="Z64" s="15"/>
    </row>
    <row r="65" spans="1:27">
      <c r="A65" s="17"/>
      <c r="B65" s="17"/>
      <c r="C65" s="6"/>
      <c r="D65" s="6"/>
      <c r="E65" s="17"/>
      <c r="F65" s="17"/>
      <c r="G65" s="6"/>
      <c r="I65" s="4"/>
      <c r="J65" s="10" t="s">
        <v>220</v>
      </c>
      <c r="K65" s="11" t="s">
        <v>16</v>
      </c>
      <c r="L65" s="15">
        <v>4</v>
      </c>
      <c r="M65" s="15">
        <v>12</v>
      </c>
      <c r="N65" s="15">
        <v>29</v>
      </c>
      <c r="O65" s="15">
        <v>48</v>
      </c>
      <c r="P65" s="15"/>
      <c r="Q65" s="15"/>
      <c r="R65" s="15"/>
      <c r="S65" s="15"/>
      <c r="T65" s="10" t="s">
        <v>221</v>
      </c>
      <c r="U65" s="14" t="s">
        <v>88</v>
      </c>
      <c r="V65" s="15">
        <v>36</v>
      </c>
      <c r="W65" s="15"/>
      <c r="X65" s="15"/>
      <c r="Y65" s="15"/>
      <c r="Z65" s="15"/>
    </row>
    <row r="66" spans="1:27" ht="12.75" customHeight="1">
      <c r="A66" s="17"/>
      <c r="B66" s="17"/>
      <c r="C66" s="6"/>
      <c r="D66" s="6"/>
      <c r="E66" s="17"/>
      <c r="F66" s="17"/>
      <c r="G66" s="6" t="s">
        <v>3</v>
      </c>
      <c r="I66" s="4"/>
      <c r="J66" s="10" t="s">
        <v>223</v>
      </c>
      <c r="K66" s="11" t="s">
        <v>16</v>
      </c>
      <c r="L66" s="15">
        <v>4</v>
      </c>
      <c r="M66" s="15">
        <v>12</v>
      </c>
      <c r="N66" s="15">
        <v>29</v>
      </c>
      <c r="O66" s="15">
        <v>48</v>
      </c>
      <c r="P66" s="15"/>
      <c r="Q66" s="15"/>
      <c r="R66" s="15"/>
      <c r="S66" s="15"/>
      <c r="T66" s="10" t="s">
        <v>224</v>
      </c>
      <c r="U66" s="14" t="s">
        <v>44</v>
      </c>
      <c r="V66" s="15">
        <v>39</v>
      </c>
      <c r="W66" s="15"/>
      <c r="X66" s="15"/>
      <c r="Y66" s="15"/>
      <c r="Z66" s="15"/>
    </row>
    <row r="67" spans="1:27" ht="12.75" customHeight="1">
      <c r="A67" s="17"/>
      <c r="B67" s="17"/>
      <c r="C67" s="6"/>
      <c r="D67" s="17"/>
      <c r="E67" s="1269" t="s">
        <v>206</v>
      </c>
      <c r="F67" s="1269"/>
      <c r="G67" s="6">
        <v>54</v>
      </c>
      <c r="I67" s="4"/>
      <c r="J67" s="10" t="s">
        <v>225</v>
      </c>
      <c r="K67" s="11" t="s">
        <v>226</v>
      </c>
      <c r="L67" s="15">
        <v>18</v>
      </c>
      <c r="M67" s="15">
        <v>19</v>
      </c>
      <c r="N67" s="15"/>
      <c r="O67" s="15"/>
      <c r="P67" s="15"/>
      <c r="Q67" s="15"/>
      <c r="R67" s="15"/>
      <c r="S67" s="15"/>
      <c r="T67" s="10" t="s">
        <v>227</v>
      </c>
      <c r="U67" s="14" t="s">
        <v>4409</v>
      </c>
      <c r="V67" s="15">
        <v>27</v>
      </c>
      <c r="W67" s="15"/>
      <c r="X67" s="15"/>
      <c r="Y67" s="15"/>
      <c r="Z67" s="15"/>
    </row>
    <row r="68" spans="1:27" ht="15.75" customHeight="1">
      <c r="D68" s="6"/>
      <c r="E68" s="17"/>
      <c r="F68" s="17"/>
      <c r="G68" s="6"/>
      <c r="I68" s="4"/>
      <c r="J68" s="10" t="s">
        <v>228</v>
      </c>
      <c r="K68" s="11" t="s">
        <v>226</v>
      </c>
      <c r="L68" s="15">
        <v>18</v>
      </c>
      <c r="M68" s="15">
        <v>19</v>
      </c>
      <c r="N68" s="15"/>
      <c r="O68" s="15"/>
      <c r="P68" s="15"/>
      <c r="Q68" s="15"/>
      <c r="R68" s="15"/>
      <c r="S68" s="15"/>
      <c r="T68" s="5" t="s">
        <v>229</v>
      </c>
      <c r="U68" s="14"/>
      <c r="V68" s="15"/>
      <c r="W68" s="15"/>
      <c r="X68" s="15"/>
      <c r="Y68" s="15"/>
      <c r="Z68" s="15"/>
    </row>
    <row r="69" spans="1:27" ht="12.75" customHeight="1">
      <c r="A69" s="1258" t="s">
        <v>205</v>
      </c>
      <c r="B69" s="1258"/>
      <c r="C69" s="6" t="s">
        <v>3</v>
      </c>
      <c r="D69" s="6"/>
      <c r="E69" s="17"/>
      <c r="F69" s="17"/>
      <c r="G69" s="6"/>
      <c r="I69" s="4"/>
      <c r="J69" s="10" t="s">
        <v>231</v>
      </c>
      <c r="K69" s="11" t="s">
        <v>37</v>
      </c>
      <c r="L69" s="15">
        <v>24</v>
      </c>
      <c r="M69" s="15">
        <v>25</v>
      </c>
      <c r="N69" s="15"/>
      <c r="O69" s="15"/>
      <c r="P69" s="15"/>
      <c r="Q69" s="15"/>
      <c r="R69" s="15"/>
      <c r="S69" s="15"/>
      <c r="T69" s="19" t="s">
        <v>232</v>
      </c>
      <c r="U69" s="14" t="s">
        <v>66</v>
      </c>
      <c r="V69" s="15">
        <v>35</v>
      </c>
      <c r="W69" s="15"/>
      <c r="X69" s="15"/>
      <c r="Y69" s="15"/>
      <c r="Z69" s="15"/>
    </row>
    <row r="70" spans="1:27">
      <c r="A70" s="1267" t="s">
        <v>210</v>
      </c>
      <c r="B70" s="1267"/>
      <c r="C70" s="1257">
        <v>30</v>
      </c>
      <c r="D70" s="17"/>
      <c r="E70" s="17"/>
      <c r="F70" s="17"/>
      <c r="G70" s="6"/>
      <c r="I70" s="4"/>
      <c r="J70" s="10" t="s">
        <v>233</v>
      </c>
      <c r="K70" s="11" t="s">
        <v>234</v>
      </c>
      <c r="L70" s="15">
        <v>52</v>
      </c>
      <c r="M70" s="15"/>
      <c r="N70" s="15"/>
      <c r="O70" s="15"/>
      <c r="P70" s="15"/>
      <c r="Q70" s="15"/>
      <c r="R70" s="15"/>
      <c r="S70" s="15"/>
      <c r="T70" s="5" t="s">
        <v>239</v>
      </c>
      <c r="U70" s="14"/>
      <c r="V70" s="15"/>
      <c r="W70" s="15"/>
      <c r="X70" s="15"/>
      <c r="Y70" s="15"/>
      <c r="Z70" s="15"/>
    </row>
    <row r="71" spans="1:27">
      <c r="A71" s="1267"/>
      <c r="B71" s="1267"/>
      <c r="C71" s="1257"/>
      <c r="D71" s="17"/>
      <c r="E71" s="17"/>
      <c r="F71" s="17"/>
      <c r="G71" s="6"/>
      <c r="I71" s="4"/>
      <c r="J71" s="10" t="s">
        <v>235</v>
      </c>
      <c r="K71" s="11" t="s">
        <v>236</v>
      </c>
      <c r="L71" s="15">
        <v>46</v>
      </c>
      <c r="M71" s="15"/>
      <c r="N71" s="15"/>
      <c r="O71" s="15"/>
      <c r="P71" s="15"/>
      <c r="Q71" s="15"/>
      <c r="R71" s="15"/>
      <c r="S71" s="15"/>
      <c r="T71" s="10" t="s">
        <v>241</v>
      </c>
      <c r="U71" s="14" t="s">
        <v>242</v>
      </c>
      <c r="V71" s="15">
        <v>29</v>
      </c>
      <c r="W71" s="15"/>
      <c r="X71" s="15"/>
      <c r="Y71" s="15"/>
      <c r="Z71" s="15"/>
    </row>
    <row r="72" spans="1:27">
      <c r="A72" s="1268" t="s">
        <v>217</v>
      </c>
      <c r="B72" s="1268"/>
      <c r="C72" s="6">
        <v>31</v>
      </c>
      <c r="D72" s="17"/>
      <c r="E72" s="17"/>
      <c r="F72" s="17"/>
      <c r="G72" s="6"/>
      <c r="I72" s="4"/>
      <c r="J72" s="10" t="s">
        <v>237</v>
      </c>
      <c r="K72" s="11" t="s">
        <v>238</v>
      </c>
      <c r="L72" s="15">
        <v>12</v>
      </c>
      <c r="M72" s="15"/>
      <c r="N72" s="15"/>
      <c r="O72" s="15"/>
      <c r="P72" s="15"/>
      <c r="Q72" s="15"/>
      <c r="R72" s="15"/>
      <c r="S72" s="15"/>
      <c r="T72" s="10" t="s">
        <v>244</v>
      </c>
      <c r="U72" s="14" t="s">
        <v>13</v>
      </c>
      <c r="V72" s="15">
        <v>4</v>
      </c>
      <c r="W72" s="15">
        <v>5</v>
      </c>
      <c r="X72" s="15">
        <v>6</v>
      </c>
      <c r="Y72" s="15">
        <v>30</v>
      </c>
      <c r="Z72" s="15">
        <v>31</v>
      </c>
      <c r="AA72" s="6">
        <v>39</v>
      </c>
    </row>
    <row r="73" spans="1:27" ht="12.75" customHeight="1">
      <c r="A73" s="1268" t="s">
        <v>219</v>
      </c>
      <c r="B73" s="1268"/>
      <c r="C73" s="24">
        <v>32</v>
      </c>
      <c r="D73" s="17"/>
      <c r="E73" s="17"/>
      <c r="F73" s="17"/>
      <c r="G73" s="6"/>
      <c r="I73" s="4"/>
      <c r="J73" s="5" t="s">
        <v>240</v>
      </c>
      <c r="K73" s="11"/>
      <c r="L73" s="6"/>
      <c r="M73" s="6"/>
      <c r="N73" s="6"/>
      <c r="O73" s="6"/>
      <c r="P73" s="6"/>
      <c r="Q73" s="6"/>
      <c r="R73" s="6"/>
      <c r="S73" s="15"/>
      <c r="T73" s="10" t="s">
        <v>246</v>
      </c>
      <c r="U73" s="14" t="s">
        <v>176</v>
      </c>
      <c r="V73" s="15">
        <v>35</v>
      </c>
      <c r="X73" s="15"/>
      <c r="Y73" s="15"/>
      <c r="Z73" s="15"/>
    </row>
    <row r="74" spans="1:27" ht="12.75" customHeight="1">
      <c r="A74" s="1268" t="s">
        <v>222</v>
      </c>
      <c r="B74" s="1268"/>
      <c r="C74" s="6">
        <v>33</v>
      </c>
      <c r="D74" s="17"/>
      <c r="E74" s="17"/>
      <c r="F74" s="17"/>
      <c r="I74" s="4"/>
      <c r="J74" s="10" t="s">
        <v>243</v>
      </c>
      <c r="K74" s="14" t="s">
        <v>72</v>
      </c>
      <c r="L74" s="15">
        <v>53</v>
      </c>
      <c r="M74" s="15"/>
      <c r="N74" s="15"/>
      <c r="O74" s="15"/>
      <c r="P74" s="15"/>
      <c r="Q74" s="15"/>
      <c r="R74" s="15"/>
      <c r="S74" s="6"/>
      <c r="T74" s="5" t="s">
        <v>249</v>
      </c>
      <c r="U74" s="14"/>
      <c r="V74" s="15"/>
      <c r="W74" s="15"/>
      <c r="X74" s="15"/>
      <c r="Y74" s="15"/>
      <c r="Z74" s="15"/>
    </row>
    <row r="75" spans="1:27" ht="12.75" customHeight="1">
      <c r="A75" s="1267" t="s">
        <v>2706</v>
      </c>
      <c r="B75" s="1267"/>
      <c r="C75" s="6">
        <v>34</v>
      </c>
      <c r="D75" s="17"/>
      <c r="G75" s="6" t="s">
        <v>3</v>
      </c>
      <c r="I75" s="4"/>
      <c r="J75" s="10" t="s">
        <v>245</v>
      </c>
      <c r="K75" s="14" t="s">
        <v>209</v>
      </c>
      <c r="L75" s="15">
        <v>22</v>
      </c>
      <c r="M75" s="15"/>
      <c r="N75" s="15"/>
      <c r="O75" s="15"/>
      <c r="P75" s="15"/>
      <c r="Q75" s="15"/>
      <c r="R75" s="15"/>
      <c r="S75" s="15"/>
      <c r="T75" s="10" t="s">
        <v>253</v>
      </c>
      <c r="U75" s="14" t="s">
        <v>254</v>
      </c>
      <c r="V75" s="15">
        <v>7</v>
      </c>
      <c r="W75" s="15"/>
      <c r="X75" s="15"/>
      <c r="Y75" s="15"/>
      <c r="Z75" s="15"/>
    </row>
    <row r="76" spans="1:27" ht="12.75" customHeight="1">
      <c r="A76" s="1267" t="s">
        <v>6485</v>
      </c>
      <c r="B76" s="1267"/>
      <c r="C76" s="33">
        <v>35</v>
      </c>
      <c r="D76" s="17"/>
      <c r="E76" s="1269" t="s">
        <v>230</v>
      </c>
      <c r="F76" s="1269"/>
      <c r="G76" s="6">
        <v>55</v>
      </c>
      <c r="I76" s="4"/>
      <c r="J76" s="10" t="s">
        <v>247</v>
      </c>
      <c r="K76" s="14" t="s">
        <v>248</v>
      </c>
      <c r="L76" s="15">
        <v>4</v>
      </c>
      <c r="M76" s="15">
        <v>11</v>
      </c>
      <c r="N76" s="15"/>
      <c r="O76" s="15"/>
      <c r="P76" s="15"/>
      <c r="Q76" s="15"/>
      <c r="R76" s="15"/>
      <c r="S76" s="15"/>
      <c r="T76" s="10" t="s">
        <v>256</v>
      </c>
      <c r="U76" s="11" t="s">
        <v>257</v>
      </c>
      <c r="V76" s="15">
        <v>44</v>
      </c>
      <c r="W76" s="15"/>
      <c r="X76" s="15"/>
      <c r="Y76" s="15"/>
      <c r="Z76" s="15"/>
    </row>
    <row r="77" spans="1:27" ht="12.75" customHeight="1">
      <c r="A77" s="1267" t="s">
        <v>6618</v>
      </c>
      <c r="B77" s="1267"/>
      <c r="C77" s="6">
        <v>36</v>
      </c>
      <c r="D77" s="17"/>
      <c r="E77" s="17"/>
      <c r="F77" s="17"/>
      <c r="G77" s="6"/>
      <c r="I77" s="4"/>
      <c r="J77" s="10" t="s">
        <v>251</v>
      </c>
      <c r="K77" s="14" t="s">
        <v>252</v>
      </c>
      <c r="L77" s="15">
        <v>13</v>
      </c>
      <c r="M77" s="15"/>
      <c r="N77" s="15"/>
      <c r="O77" s="15"/>
      <c r="P77" s="15"/>
      <c r="Q77" s="15"/>
      <c r="R77" s="15"/>
      <c r="S77" s="15"/>
      <c r="T77" s="10" t="s">
        <v>259</v>
      </c>
      <c r="U77" s="14" t="s">
        <v>72</v>
      </c>
      <c r="V77" s="15">
        <v>53</v>
      </c>
      <c r="W77" s="15"/>
      <c r="X77" s="15"/>
      <c r="Y77" s="15"/>
      <c r="Z77" s="15"/>
    </row>
    <row r="78" spans="1:27">
      <c r="A78" s="1267" t="s">
        <v>6484</v>
      </c>
      <c r="B78" s="1267"/>
      <c r="C78" s="6">
        <v>37</v>
      </c>
      <c r="D78" s="17"/>
      <c r="E78" s="17"/>
      <c r="F78" s="17"/>
      <c r="G78" s="6"/>
      <c r="I78" s="4"/>
      <c r="J78" s="10" t="s">
        <v>255</v>
      </c>
      <c r="K78" s="14" t="s">
        <v>226</v>
      </c>
      <c r="L78" s="15">
        <v>18</v>
      </c>
      <c r="M78" s="15">
        <v>19</v>
      </c>
      <c r="N78" s="15"/>
      <c r="O78" s="15"/>
      <c r="P78" s="15"/>
      <c r="Q78" s="15"/>
      <c r="R78" s="15"/>
      <c r="S78" s="15"/>
      <c r="T78" s="10" t="s">
        <v>261</v>
      </c>
      <c r="U78" s="14" t="s">
        <v>44</v>
      </c>
      <c r="V78" s="15">
        <v>39</v>
      </c>
      <c r="W78" s="15"/>
      <c r="X78" s="15"/>
      <c r="Y78" s="15"/>
      <c r="Z78" s="15"/>
    </row>
    <row r="79" spans="1:27">
      <c r="A79" s="1267" t="s">
        <v>6483</v>
      </c>
      <c r="B79" s="1267"/>
      <c r="C79" s="6">
        <v>38</v>
      </c>
      <c r="D79" s="17"/>
      <c r="E79" s="17"/>
      <c r="F79" s="17"/>
      <c r="G79" s="6"/>
      <c r="I79" s="4"/>
      <c r="J79" s="10" t="s">
        <v>258</v>
      </c>
      <c r="K79" s="14" t="s">
        <v>35</v>
      </c>
      <c r="L79" s="15">
        <v>7</v>
      </c>
      <c r="M79" s="15">
        <v>8</v>
      </c>
      <c r="N79" s="15"/>
      <c r="O79" s="15"/>
      <c r="P79" s="15"/>
      <c r="Q79" s="15"/>
      <c r="R79" s="15"/>
      <c r="S79" s="15"/>
      <c r="T79" s="10" t="s">
        <v>262</v>
      </c>
      <c r="U79" s="14" t="s">
        <v>263</v>
      </c>
      <c r="V79" s="15">
        <v>5</v>
      </c>
      <c r="W79" s="15">
        <v>6</v>
      </c>
      <c r="X79" s="15">
        <v>29</v>
      </c>
      <c r="Y79" s="15">
        <v>39</v>
      </c>
      <c r="Z79" s="15"/>
    </row>
    <row r="80" spans="1:27">
      <c r="A80" s="917"/>
      <c r="B80" s="917"/>
      <c r="C80" s="17"/>
      <c r="E80" s="17"/>
      <c r="F80" s="17"/>
      <c r="G80" s="6"/>
      <c r="I80" s="4"/>
      <c r="J80" s="10" t="s">
        <v>260</v>
      </c>
      <c r="K80" s="31" t="s">
        <v>44</v>
      </c>
      <c r="L80" s="30">
        <v>39</v>
      </c>
      <c r="S80" s="15"/>
      <c r="T80" s="10" t="s">
        <v>264</v>
      </c>
      <c r="U80" s="14" t="s">
        <v>4414</v>
      </c>
      <c r="V80" s="15">
        <v>24</v>
      </c>
      <c r="W80" s="15">
        <v>27</v>
      </c>
      <c r="X80" s="15"/>
      <c r="Y80" s="15"/>
      <c r="Z80" s="15"/>
    </row>
    <row r="81" spans="1:27">
      <c r="A81" s="17"/>
      <c r="B81" s="17"/>
      <c r="C81" s="17"/>
      <c r="E81" s="17"/>
      <c r="F81" s="17"/>
      <c r="G81" s="6"/>
      <c r="I81" s="4"/>
      <c r="J81" s="1139" t="s">
        <v>6619</v>
      </c>
      <c r="K81" s="1138" t="s">
        <v>176</v>
      </c>
      <c r="L81" s="30">
        <v>36</v>
      </c>
      <c r="T81" s="5" t="s">
        <v>265</v>
      </c>
      <c r="U81" s="14"/>
      <c r="V81" s="15"/>
      <c r="W81" s="15"/>
      <c r="X81" s="15"/>
      <c r="Y81" s="15"/>
      <c r="Z81" s="15"/>
    </row>
    <row r="82" spans="1:27">
      <c r="E82" s="17"/>
      <c r="F82" s="17"/>
      <c r="G82" s="6"/>
      <c r="I82" s="4"/>
      <c r="T82" s="10" t="s">
        <v>266</v>
      </c>
      <c r="U82" s="14" t="s">
        <v>226</v>
      </c>
      <c r="V82" s="15">
        <v>18</v>
      </c>
      <c r="W82" s="15">
        <v>19</v>
      </c>
      <c r="X82" s="15"/>
      <c r="Y82" s="15"/>
      <c r="Z82" s="15"/>
    </row>
    <row r="83" spans="1:27">
      <c r="E83" s="17"/>
      <c r="F83" s="17"/>
      <c r="G83" s="6" t="s">
        <v>3</v>
      </c>
      <c r="I83" s="4"/>
      <c r="T83" s="5" t="s">
        <v>267</v>
      </c>
      <c r="U83" s="14"/>
      <c r="V83" s="15"/>
      <c r="W83" s="15"/>
      <c r="X83" s="15"/>
      <c r="Y83" s="15"/>
      <c r="Z83" s="15"/>
    </row>
    <row r="84" spans="1:27" ht="15.75">
      <c r="E84" s="1269" t="s">
        <v>250</v>
      </c>
      <c r="F84" s="1269"/>
      <c r="G84" s="6">
        <v>56</v>
      </c>
      <c r="I84" s="4"/>
      <c r="T84" s="1144" t="s">
        <v>3654</v>
      </c>
      <c r="U84" s="14" t="s">
        <v>66</v>
      </c>
      <c r="V84" s="15">
        <v>34</v>
      </c>
      <c r="W84" s="15"/>
      <c r="X84" s="15"/>
      <c r="Y84" s="15"/>
      <c r="Z84" s="15"/>
    </row>
    <row r="85" spans="1:27">
      <c r="E85" s="17"/>
      <c r="F85" s="17"/>
      <c r="G85" s="6"/>
      <c r="I85" s="4"/>
    </row>
    <row r="86" spans="1:27">
      <c r="T86" s="17"/>
      <c r="U86" s="17"/>
      <c r="AA86" s="32"/>
    </row>
    <row r="87" spans="1:27">
      <c r="T87" s="17"/>
      <c r="U87" s="17"/>
      <c r="AA87" s="32"/>
    </row>
    <row r="88" spans="1:27">
      <c r="B88" s="1" t="s">
        <v>6743</v>
      </c>
      <c r="T88" s="17"/>
      <c r="U88" s="17"/>
      <c r="AA88" s="32"/>
    </row>
    <row r="89" spans="1:27">
      <c r="T89" s="17"/>
      <c r="U89" s="17"/>
      <c r="AA89" s="32"/>
    </row>
    <row r="90" spans="1:27">
      <c r="A90" s="33" t="s">
        <v>268</v>
      </c>
      <c r="B90" s="1" t="s">
        <v>269</v>
      </c>
      <c r="T90" s="17"/>
      <c r="U90" s="17"/>
      <c r="AA90" s="32"/>
    </row>
    <row r="91" spans="1:27" s="17" customFormat="1" ht="29.25" customHeight="1">
      <c r="A91" s="1199">
        <v>43304</v>
      </c>
      <c r="B91" s="1244" t="s">
        <v>6941</v>
      </c>
      <c r="C91" s="1244"/>
      <c r="D91" s="1244"/>
      <c r="E91" s="1244"/>
      <c r="F91" s="1244"/>
      <c r="G91" s="1244"/>
      <c r="H91" s="1244"/>
      <c r="I91" s="1244"/>
      <c r="J91" s="1244"/>
      <c r="K91" s="1244"/>
      <c r="V91" s="6"/>
      <c r="W91" s="6"/>
      <c r="X91" s="6"/>
      <c r="Y91" s="6"/>
      <c r="Z91" s="6"/>
      <c r="AA91" s="32"/>
    </row>
    <row r="92" spans="1:27" s="17" customFormat="1" ht="43.5" customHeight="1">
      <c r="A92" s="1199">
        <v>43301</v>
      </c>
      <c r="B92" s="1244" t="s">
        <v>6921</v>
      </c>
      <c r="C92" s="1244"/>
      <c r="D92" s="1244"/>
      <c r="E92" s="1244"/>
      <c r="F92" s="1244"/>
      <c r="G92" s="1244"/>
      <c r="H92" s="1244"/>
      <c r="I92" s="1244"/>
      <c r="J92" s="1244"/>
      <c r="K92" s="1244"/>
      <c r="V92" s="6"/>
      <c r="W92" s="6"/>
      <c r="X92" s="6"/>
      <c r="Y92" s="6"/>
      <c r="Z92" s="6"/>
      <c r="AA92" s="32"/>
    </row>
    <row r="93" spans="1:27" s="17" customFormat="1" ht="51.75" customHeight="1">
      <c r="A93" s="1199">
        <v>43299</v>
      </c>
      <c r="B93" s="1244" t="s">
        <v>6845</v>
      </c>
      <c r="C93" s="1244"/>
      <c r="D93" s="1244"/>
      <c r="E93" s="1244"/>
      <c r="F93" s="1244"/>
      <c r="G93" s="1244"/>
      <c r="H93" s="1244"/>
      <c r="I93" s="1244"/>
      <c r="J93" s="1244"/>
      <c r="K93" s="1244"/>
      <c r="V93" s="6"/>
      <c r="W93" s="6"/>
      <c r="X93" s="6"/>
      <c r="Y93" s="6"/>
      <c r="Z93" s="6"/>
      <c r="AA93" s="32"/>
    </row>
    <row r="94" spans="1:27" s="17" customFormat="1" ht="39.75" customHeight="1">
      <c r="A94" s="1199">
        <v>43297</v>
      </c>
      <c r="B94" s="1244" t="s">
        <v>6766</v>
      </c>
      <c r="C94" s="1244"/>
      <c r="D94" s="1244"/>
      <c r="E94" s="1244"/>
      <c r="F94" s="1244"/>
      <c r="G94" s="1244"/>
      <c r="H94" s="1244"/>
      <c r="I94" s="1244"/>
      <c r="J94" s="1244"/>
      <c r="K94" s="1244"/>
      <c r="V94" s="6"/>
      <c r="W94" s="6"/>
      <c r="X94" s="6"/>
      <c r="Y94" s="6"/>
      <c r="Z94" s="6"/>
      <c r="AA94" s="32"/>
    </row>
    <row r="95" spans="1:27">
      <c r="A95" s="766">
        <v>43292</v>
      </c>
      <c r="B95" s="1271" t="s">
        <v>6742</v>
      </c>
      <c r="C95" s="1271"/>
      <c r="D95" s="1271"/>
      <c r="E95" s="1271"/>
      <c r="F95" s="1271"/>
      <c r="G95" s="1271"/>
      <c r="H95" s="1271"/>
      <c r="I95" s="1271"/>
      <c r="J95" s="1271"/>
      <c r="K95" s="1271"/>
      <c r="T95" s="17"/>
      <c r="U95" s="17"/>
      <c r="AA95" s="32"/>
    </row>
    <row r="96" spans="1:27">
      <c r="A96" s="36">
        <v>43290</v>
      </c>
      <c r="B96" s="1" t="s">
        <v>6728</v>
      </c>
      <c r="T96" s="17"/>
      <c r="U96" s="17"/>
      <c r="AA96" s="32"/>
    </row>
    <row r="97" spans="1:27">
      <c r="A97" s="36">
        <v>43287</v>
      </c>
      <c r="B97" s="1" t="s">
        <v>6729</v>
      </c>
      <c r="T97" s="17"/>
      <c r="U97" s="17"/>
      <c r="AA97" s="32"/>
    </row>
    <row r="98" spans="1:27" ht="26.25" customHeight="1">
      <c r="A98" s="34">
        <v>43286</v>
      </c>
      <c r="B98" s="1244" t="s">
        <v>6722</v>
      </c>
      <c r="C98" s="1244"/>
      <c r="D98" s="1244"/>
      <c r="E98" s="1244"/>
      <c r="F98" s="1244"/>
      <c r="G98" s="1244"/>
      <c r="H98" s="1244"/>
      <c r="I98" s="1244"/>
      <c r="J98" s="1244"/>
      <c r="K98" s="1244"/>
      <c r="T98" s="17"/>
      <c r="U98" s="17"/>
      <c r="AA98" s="32"/>
    </row>
    <row r="99" spans="1:27" ht="16.5" customHeight="1">
      <c r="A99" s="34">
        <v>43285</v>
      </c>
      <c r="B99" s="1244" t="s">
        <v>6715</v>
      </c>
      <c r="C99" s="1244"/>
      <c r="D99" s="1244"/>
      <c r="E99" s="1244"/>
      <c r="F99" s="1244"/>
      <c r="G99" s="1244"/>
      <c r="H99" s="1244"/>
      <c r="I99" s="1244"/>
      <c r="J99" s="1244"/>
      <c r="K99" s="1244"/>
      <c r="T99" s="17"/>
      <c r="U99" s="17"/>
      <c r="AA99" s="32"/>
    </row>
    <row r="100" spans="1:27" ht="27" customHeight="1">
      <c r="A100" s="34">
        <v>43283</v>
      </c>
      <c r="B100" s="1244" t="s">
        <v>6707</v>
      </c>
      <c r="C100" s="1244"/>
      <c r="D100" s="1244"/>
      <c r="E100" s="1244"/>
      <c r="F100" s="1244"/>
      <c r="G100" s="1244"/>
      <c r="H100" s="1244"/>
      <c r="I100" s="1244"/>
      <c r="J100" s="1244"/>
      <c r="K100" s="1244"/>
      <c r="T100" s="17"/>
      <c r="U100" s="17"/>
      <c r="AA100" s="32"/>
    </row>
    <row r="101" spans="1:27" ht="26.25" customHeight="1">
      <c r="A101" s="34">
        <v>43277</v>
      </c>
      <c r="B101" s="1244" t="s">
        <v>6675</v>
      </c>
      <c r="C101" s="1244"/>
      <c r="D101" s="1244"/>
      <c r="E101" s="1244"/>
      <c r="F101" s="1244"/>
      <c r="G101" s="1244"/>
      <c r="H101" s="1244"/>
      <c r="I101" s="1244"/>
      <c r="J101" s="1244"/>
      <c r="K101" s="1244"/>
      <c r="T101" s="17"/>
      <c r="U101" s="17"/>
      <c r="AA101" s="32"/>
    </row>
    <row r="102" spans="1:27" ht="80.25" customHeight="1">
      <c r="A102" s="34">
        <v>43276</v>
      </c>
      <c r="B102" s="1244" t="s">
        <v>6672</v>
      </c>
      <c r="C102" s="1244"/>
      <c r="D102" s="1244"/>
      <c r="E102" s="1244"/>
      <c r="F102" s="1244"/>
      <c r="G102" s="1244"/>
      <c r="H102" s="1244"/>
      <c r="I102" s="1244"/>
      <c r="J102" s="1244"/>
      <c r="K102" s="1244"/>
      <c r="T102" s="17"/>
      <c r="U102" s="17"/>
      <c r="AA102" s="32"/>
    </row>
    <row r="103" spans="1:27" ht="26.25" customHeight="1">
      <c r="A103" s="34">
        <v>43271</v>
      </c>
      <c r="B103" s="1244" t="s">
        <v>6641</v>
      </c>
      <c r="C103" s="1244"/>
      <c r="D103" s="1244"/>
      <c r="E103" s="1244"/>
      <c r="F103" s="1244"/>
      <c r="G103" s="1244"/>
      <c r="H103" s="1244"/>
      <c r="I103" s="1244"/>
      <c r="J103" s="1244"/>
      <c r="K103" s="1244"/>
      <c r="T103" s="17"/>
      <c r="U103" s="17"/>
      <c r="AA103" s="32"/>
    </row>
    <row r="104" spans="1:27" ht="26.25" customHeight="1">
      <c r="A104" s="34">
        <v>43269</v>
      </c>
      <c r="B104" s="1244" t="s">
        <v>6578</v>
      </c>
      <c r="C104" s="1244"/>
      <c r="D104" s="1244"/>
      <c r="E104" s="1244"/>
      <c r="F104" s="1244"/>
      <c r="G104" s="1244"/>
      <c r="H104" s="1244"/>
      <c r="I104" s="1244"/>
      <c r="J104" s="1244"/>
      <c r="K104" s="1244"/>
      <c r="T104" s="17"/>
      <c r="U104" s="17"/>
      <c r="AA104" s="32"/>
    </row>
    <row r="105" spans="1:27" ht="26.25" customHeight="1">
      <c r="A105" s="34">
        <v>43266</v>
      </c>
      <c r="B105" s="1244" t="s">
        <v>6564</v>
      </c>
      <c r="C105" s="1244"/>
      <c r="D105" s="1244"/>
      <c r="E105" s="1244"/>
      <c r="F105" s="1244"/>
      <c r="G105" s="1244"/>
      <c r="H105" s="1244"/>
      <c r="I105" s="1244"/>
      <c r="J105" s="1244"/>
      <c r="K105" s="1244"/>
      <c r="T105" s="17"/>
      <c r="U105" s="17"/>
      <c r="AA105" s="32"/>
    </row>
    <row r="106" spans="1:27">
      <c r="A106" s="36">
        <v>43264</v>
      </c>
      <c r="B106" s="1244" t="s">
        <v>6556</v>
      </c>
      <c r="C106" s="1244"/>
      <c r="D106" s="1244"/>
      <c r="E106" s="1244"/>
      <c r="F106" s="1244"/>
      <c r="G106" s="1244"/>
      <c r="H106" s="1244"/>
      <c r="I106" s="1244"/>
      <c r="J106" s="1244"/>
      <c r="K106" s="1244"/>
      <c r="T106" s="17"/>
      <c r="U106" s="17"/>
      <c r="AA106" s="32"/>
    </row>
    <row r="107" spans="1:27">
      <c r="A107" s="36">
        <v>43262</v>
      </c>
      <c r="B107" s="1244" t="s">
        <v>6546</v>
      </c>
      <c r="C107" s="1244"/>
      <c r="D107" s="1244"/>
      <c r="E107" s="1244"/>
      <c r="F107" s="1244"/>
      <c r="G107" s="1244"/>
      <c r="H107" s="1244"/>
      <c r="I107" s="1244"/>
      <c r="J107" s="1244"/>
      <c r="K107" s="1244"/>
      <c r="T107" s="17"/>
      <c r="U107" s="17"/>
      <c r="AA107" s="32"/>
    </row>
    <row r="108" spans="1:27">
      <c r="A108" s="36">
        <v>43258</v>
      </c>
      <c r="B108" s="1244" t="s">
        <v>6545</v>
      </c>
      <c r="C108" s="1244"/>
      <c r="D108" s="1244"/>
      <c r="E108" s="1244"/>
      <c r="F108" s="1244"/>
      <c r="G108" s="1244"/>
      <c r="H108" s="1244"/>
      <c r="I108" s="1244"/>
      <c r="J108" s="1244"/>
      <c r="K108" s="1244"/>
      <c r="T108" s="17"/>
      <c r="U108" s="17"/>
      <c r="AA108" s="32"/>
    </row>
    <row r="109" spans="1:27">
      <c r="A109" s="36">
        <v>43257</v>
      </c>
      <c r="B109" s="1244" t="s">
        <v>6541</v>
      </c>
      <c r="C109" s="1244"/>
      <c r="D109" s="1244"/>
      <c r="E109" s="1244"/>
      <c r="F109" s="1244"/>
      <c r="G109" s="1244"/>
      <c r="H109" s="1244"/>
      <c r="I109" s="1244"/>
      <c r="J109" s="1244"/>
      <c r="K109" s="1244"/>
      <c r="T109" s="17"/>
      <c r="U109" s="17"/>
      <c r="AA109" s="32"/>
    </row>
    <row r="110" spans="1:27" ht="15.75" customHeight="1">
      <c r="A110" s="34">
        <v>6</v>
      </c>
      <c r="B110" s="1244" t="s">
        <v>6540</v>
      </c>
      <c r="C110" s="1244"/>
      <c r="D110" s="1244"/>
      <c r="E110" s="1244"/>
      <c r="F110" s="1244"/>
      <c r="G110" s="1244"/>
      <c r="H110" s="1244"/>
      <c r="I110" s="1244"/>
      <c r="J110" s="1244"/>
      <c r="K110" s="1244"/>
      <c r="T110" s="17"/>
      <c r="U110" s="17"/>
      <c r="AA110" s="32"/>
    </row>
    <row r="111" spans="1:27" s="313" customFormat="1" ht="81.75" customHeight="1">
      <c r="A111" s="1085">
        <v>43252</v>
      </c>
      <c r="B111" s="1244" t="s">
        <v>6539</v>
      </c>
      <c r="C111" s="1244"/>
      <c r="D111" s="1244"/>
      <c r="E111" s="1244"/>
      <c r="F111" s="1244"/>
      <c r="G111" s="1244"/>
      <c r="H111" s="1244"/>
      <c r="I111" s="1244"/>
      <c r="J111" s="1244"/>
      <c r="K111" s="1244"/>
      <c r="T111" s="924"/>
      <c r="U111" s="924"/>
      <c r="V111" s="32"/>
      <c r="W111" s="32"/>
      <c r="X111" s="32"/>
      <c r="Y111" s="32"/>
      <c r="Z111" s="32"/>
      <c r="AA111" s="32"/>
    </row>
    <row r="112" spans="1:27" ht="15.75" customHeight="1">
      <c r="A112" s="34">
        <v>43251</v>
      </c>
      <c r="B112" s="1244" t="s">
        <v>6443</v>
      </c>
      <c r="C112" s="1244"/>
      <c r="D112" s="1244"/>
      <c r="E112" s="1244"/>
      <c r="F112" s="1244"/>
      <c r="G112" s="1244"/>
      <c r="H112" s="1244"/>
      <c r="I112" s="1244"/>
      <c r="J112" s="1244"/>
      <c r="K112" s="1244"/>
      <c r="T112" s="17"/>
      <c r="U112" s="17"/>
      <c r="AA112" s="32"/>
    </row>
    <row r="113" spans="1:27" ht="29.25" customHeight="1">
      <c r="A113" s="34">
        <v>43250</v>
      </c>
      <c r="B113" s="1244" t="s">
        <v>6351</v>
      </c>
      <c r="C113" s="1244"/>
      <c r="D113" s="1244"/>
      <c r="E113" s="1244"/>
      <c r="F113" s="1244"/>
      <c r="G113" s="1244"/>
      <c r="H113" s="1244"/>
      <c r="I113" s="1244"/>
      <c r="J113" s="1244"/>
      <c r="K113" s="1244"/>
      <c r="T113" s="17"/>
      <c r="U113" s="17"/>
      <c r="AA113" s="32"/>
    </row>
    <row r="114" spans="1:27" ht="55.5" customHeight="1">
      <c r="A114" s="34">
        <v>43248</v>
      </c>
      <c r="B114" s="1244" t="s">
        <v>6338</v>
      </c>
      <c r="C114" s="1244"/>
      <c r="D114" s="1244"/>
      <c r="E114" s="1244"/>
      <c r="F114" s="1244"/>
      <c r="G114" s="1244"/>
      <c r="H114" s="1244"/>
      <c r="I114" s="1244"/>
      <c r="J114" s="1244"/>
      <c r="K114" s="1244"/>
      <c r="T114" s="17"/>
      <c r="U114" s="17"/>
      <c r="AA114" s="32"/>
    </row>
    <row r="115" spans="1:27" ht="14.25" customHeight="1">
      <c r="A115" s="34">
        <v>43245</v>
      </c>
      <c r="B115" s="1244" t="s">
        <v>6327</v>
      </c>
      <c r="C115" s="1244"/>
      <c r="D115" s="1244"/>
      <c r="E115" s="1244"/>
      <c r="F115" s="1244"/>
      <c r="G115" s="1244"/>
      <c r="H115" s="1244"/>
      <c r="I115" s="1244"/>
      <c r="J115" s="1244"/>
      <c r="K115" s="1244"/>
      <c r="T115" s="17"/>
      <c r="U115" s="17"/>
      <c r="AA115" s="32"/>
    </row>
    <row r="116" spans="1:27" ht="29.25" customHeight="1">
      <c r="A116" s="34">
        <v>43244</v>
      </c>
      <c r="B116" s="1244" t="s">
        <v>6318</v>
      </c>
      <c r="C116" s="1244"/>
      <c r="D116" s="1244"/>
      <c r="E116" s="1244"/>
      <c r="F116" s="1244"/>
      <c r="G116" s="1244"/>
      <c r="H116" s="1244"/>
      <c r="I116" s="1244"/>
      <c r="J116" s="1244"/>
      <c r="K116" s="1244"/>
      <c r="T116" s="17"/>
      <c r="U116" s="17"/>
      <c r="AA116" s="32"/>
    </row>
    <row r="117" spans="1:27" ht="29.25" customHeight="1">
      <c r="A117" s="34">
        <v>43243</v>
      </c>
      <c r="B117" s="1244" t="s">
        <v>6315</v>
      </c>
      <c r="C117" s="1244"/>
      <c r="D117" s="1244"/>
      <c r="E117" s="1244"/>
      <c r="F117" s="1244"/>
      <c r="G117" s="1244"/>
      <c r="H117" s="1244"/>
      <c r="I117" s="1244"/>
      <c r="J117" s="1244"/>
      <c r="K117" s="1244"/>
      <c r="T117" s="17"/>
      <c r="U117" s="17"/>
      <c r="AA117" s="32"/>
    </row>
    <row r="118" spans="1:27" ht="29.25" customHeight="1">
      <c r="A118" s="34">
        <v>43242</v>
      </c>
      <c r="B118" s="1244" t="s">
        <v>6314</v>
      </c>
      <c r="C118" s="1244"/>
      <c r="D118" s="1244"/>
      <c r="E118" s="1244"/>
      <c r="F118" s="1244"/>
      <c r="G118" s="1244"/>
      <c r="H118" s="1244"/>
      <c r="I118" s="1244"/>
      <c r="J118" s="1244"/>
      <c r="K118" s="1244"/>
      <c r="T118" s="17"/>
      <c r="U118" s="17"/>
      <c r="AA118" s="32"/>
    </row>
    <row r="119" spans="1:27" ht="64.5" customHeight="1">
      <c r="A119" s="34">
        <v>43238</v>
      </c>
      <c r="B119" s="1270" t="s">
        <v>6337</v>
      </c>
      <c r="C119" s="1270"/>
      <c r="D119" s="1270"/>
      <c r="E119" s="1270"/>
      <c r="F119" s="1270"/>
      <c r="G119" s="1270"/>
      <c r="H119" s="1270"/>
      <c r="I119" s="1270"/>
      <c r="J119" s="1270"/>
      <c r="K119" s="1270"/>
      <c r="T119" s="17"/>
      <c r="U119" s="17"/>
      <c r="AA119" s="32"/>
    </row>
    <row r="120" spans="1:27" ht="29.25" customHeight="1">
      <c r="A120" s="34">
        <v>43234</v>
      </c>
      <c r="B120" s="1244" t="s">
        <v>5343</v>
      </c>
      <c r="C120" s="1244"/>
      <c r="D120" s="1244"/>
      <c r="E120" s="1244"/>
      <c r="F120" s="1244"/>
      <c r="G120" s="1244"/>
      <c r="H120" s="1244"/>
      <c r="I120" s="1244"/>
      <c r="J120" s="1244"/>
      <c r="K120" s="1244"/>
      <c r="T120" s="17"/>
      <c r="U120" s="17"/>
      <c r="AA120" s="32"/>
    </row>
    <row r="121" spans="1:27" ht="21" customHeight="1">
      <c r="A121" s="34">
        <v>43230</v>
      </c>
      <c r="B121" s="1244" t="s">
        <v>5311</v>
      </c>
      <c r="C121" s="1244"/>
      <c r="D121" s="1244"/>
      <c r="E121" s="1244"/>
      <c r="F121" s="1244"/>
      <c r="G121" s="1244"/>
      <c r="H121" s="1244"/>
      <c r="I121" s="1244"/>
      <c r="J121" s="1244"/>
      <c r="K121" s="1244"/>
      <c r="T121" s="17"/>
      <c r="U121" s="17"/>
      <c r="AA121" s="32"/>
    </row>
    <row r="122" spans="1:27" ht="30" customHeight="1">
      <c r="A122" s="34">
        <v>43227</v>
      </c>
      <c r="B122" s="1244" t="s">
        <v>4516</v>
      </c>
      <c r="C122" s="1244"/>
      <c r="D122" s="1244"/>
      <c r="E122" s="1244"/>
      <c r="F122" s="1244"/>
      <c r="G122" s="1244"/>
      <c r="H122" s="1244"/>
      <c r="I122" s="1244"/>
      <c r="J122" s="1244"/>
      <c r="K122" s="1244"/>
      <c r="T122" s="17"/>
      <c r="U122" s="17"/>
      <c r="AA122" s="32"/>
    </row>
    <row r="123" spans="1:27" ht="21.75" customHeight="1">
      <c r="A123" s="34">
        <v>43223</v>
      </c>
      <c r="B123" s="1244" t="s">
        <v>4495</v>
      </c>
      <c r="C123" s="1244"/>
      <c r="D123" s="1244"/>
      <c r="E123" s="1244"/>
      <c r="F123" s="1244"/>
      <c r="G123" s="1244"/>
      <c r="H123" s="1244"/>
      <c r="I123" s="1244"/>
      <c r="J123" s="1244"/>
      <c r="K123" s="1244"/>
      <c r="T123" s="17"/>
      <c r="U123" s="17"/>
      <c r="AA123" s="32"/>
    </row>
    <row r="124" spans="1:27" ht="30.75" customHeight="1">
      <c r="A124" s="34">
        <v>43220</v>
      </c>
      <c r="B124" s="1244" t="s">
        <v>4489</v>
      </c>
      <c r="C124" s="1244"/>
      <c r="D124" s="1244"/>
      <c r="E124" s="1244"/>
      <c r="F124" s="1244"/>
      <c r="G124" s="1244"/>
      <c r="H124" s="1244"/>
      <c r="I124" s="1244"/>
      <c r="J124" s="1244"/>
      <c r="K124" s="1244"/>
      <c r="T124" s="17"/>
      <c r="U124" s="17"/>
      <c r="AA124" s="32"/>
    </row>
    <row r="125" spans="1:27">
      <c r="A125" s="34">
        <v>43214</v>
      </c>
      <c r="B125" s="1244" t="s">
        <v>4334</v>
      </c>
      <c r="C125" s="1244"/>
      <c r="D125" s="1244"/>
      <c r="E125" s="1244"/>
      <c r="F125" s="1244"/>
      <c r="G125" s="1244"/>
      <c r="H125" s="1244"/>
      <c r="I125" s="1244"/>
      <c r="J125" s="1244"/>
      <c r="K125" s="1244"/>
      <c r="T125" s="17"/>
      <c r="U125" s="17"/>
      <c r="AA125" s="32"/>
    </row>
    <row r="126" spans="1:27" ht="44.25" customHeight="1">
      <c r="A126" s="34">
        <v>43213</v>
      </c>
      <c r="B126" s="1244" t="s">
        <v>4324</v>
      </c>
      <c r="C126" s="1244"/>
      <c r="D126" s="1244"/>
      <c r="E126" s="1244"/>
      <c r="F126" s="1244"/>
      <c r="G126" s="1244"/>
      <c r="H126" s="1244"/>
      <c r="I126" s="1244"/>
      <c r="J126" s="1244"/>
      <c r="K126" s="1244"/>
      <c r="T126" s="17"/>
      <c r="U126" s="17"/>
      <c r="AA126" s="32"/>
    </row>
    <row r="127" spans="1:27" ht="26.25" customHeight="1">
      <c r="A127" s="34">
        <v>43208</v>
      </c>
      <c r="B127" s="1244" t="s">
        <v>4227</v>
      </c>
      <c r="C127" s="1244"/>
      <c r="D127" s="1244"/>
      <c r="E127" s="1244"/>
      <c r="F127" s="1244"/>
      <c r="G127" s="1244"/>
      <c r="H127" s="1244"/>
      <c r="I127" s="1244"/>
      <c r="J127" s="1244"/>
      <c r="K127" s="1244"/>
      <c r="T127" s="17"/>
      <c r="U127" s="17"/>
      <c r="AA127" s="32"/>
    </row>
    <row r="128" spans="1:27">
      <c r="A128" s="36">
        <v>43206</v>
      </c>
      <c r="B128" s="1244" t="s">
        <v>4220</v>
      </c>
      <c r="C128" s="1244"/>
      <c r="D128" s="1244"/>
      <c r="E128" s="1244"/>
      <c r="F128" s="1244"/>
      <c r="G128" s="1244"/>
      <c r="H128" s="1244"/>
      <c r="I128" s="1244"/>
      <c r="J128" s="1244"/>
      <c r="K128" s="1244"/>
      <c r="T128" s="17"/>
      <c r="U128" s="17"/>
      <c r="AA128" s="32"/>
    </row>
    <row r="129" spans="1:27">
      <c r="A129" s="36">
        <v>43203</v>
      </c>
      <c r="B129" s="1244" t="s">
        <v>4221</v>
      </c>
      <c r="C129" s="1244"/>
      <c r="D129" s="1244"/>
      <c r="E129" s="1244"/>
      <c r="F129" s="1244"/>
      <c r="G129" s="1244"/>
      <c r="H129" s="1244"/>
      <c r="I129" s="1244"/>
      <c r="J129" s="1244"/>
      <c r="K129" s="1244"/>
      <c r="T129" s="17"/>
      <c r="U129" s="17"/>
      <c r="AA129" s="32"/>
    </row>
    <row r="130" spans="1:27">
      <c r="A130" s="34">
        <v>43202</v>
      </c>
      <c r="B130" s="1244" t="s">
        <v>4219</v>
      </c>
      <c r="C130" s="1244"/>
      <c r="D130" s="1244"/>
      <c r="E130" s="1244"/>
      <c r="F130" s="1244"/>
      <c r="G130" s="1244"/>
      <c r="H130" s="1244"/>
      <c r="I130" s="1244"/>
      <c r="J130" s="1244"/>
      <c r="K130" s="1244"/>
      <c r="T130" s="17"/>
      <c r="U130" s="17"/>
      <c r="AA130" s="32"/>
    </row>
    <row r="131" spans="1:27" ht="54.75" customHeight="1">
      <c r="A131" s="34">
        <v>43199</v>
      </c>
      <c r="B131" s="1244" t="s">
        <v>4218</v>
      </c>
      <c r="C131" s="1244"/>
      <c r="D131" s="1244"/>
      <c r="E131" s="1244"/>
      <c r="F131" s="1244"/>
      <c r="G131" s="1244"/>
      <c r="H131" s="1244"/>
      <c r="I131" s="1244"/>
      <c r="J131" s="1244"/>
      <c r="K131" s="1244"/>
      <c r="T131" s="17"/>
      <c r="U131" s="17"/>
      <c r="AA131" s="32"/>
    </row>
    <row r="132" spans="1:27" ht="43.5" customHeight="1">
      <c r="A132" s="34">
        <v>43191</v>
      </c>
      <c r="B132" s="1244" t="s">
        <v>4092</v>
      </c>
      <c r="C132" s="1244"/>
      <c r="D132" s="1244"/>
      <c r="E132" s="1244"/>
      <c r="F132" s="1244"/>
      <c r="G132" s="1244"/>
      <c r="H132" s="1244"/>
      <c r="I132" s="1244"/>
      <c r="J132" s="1244"/>
      <c r="K132" s="1244"/>
      <c r="T132" s="17"/>
      <c r="U132" s="17"/>
      <c r="AA132" s="32"/>
    </row>
    <row r="133" spans="1:27" ht="27" customHeight="1">
      <c r="A133" s="34">
        <v>43185</v>
      </c>
      <c r="B133" s="1244" t="s">
        <v>3786</v>
      </c>
      <c r="C133" s="1244"/>
      <c r="D133" s="1244"/>
      <c r="E133" s="1244"/>
      <c r="F133" s="1244"/>
      <c r="G133" s="1244"/>
      <c r="H133" s="1244"/>
      <c r="I133" s="1244"/>
      <c r="J133" s="1244"/>
      <c r="K133" s="1244"/>
      <c r="T133" s="17"/>
      <c r="U133" s="17"/>
      <c r="AA133" s="32"/>
    </row>
    <row r="134" spans="1:27" ht="27" customHeight="1">
      <c r="A134" s="34">
        <v>43180</v>
      </c>
      <c r="B134" s="1244" t="s">
        <v>3736</v>
      </c>
      <c r="C134" s="1244"/>
      <c r="D134" s="1244"/>
      <c r="E134" s="1244"/>
      <c r="F134" s="1244"/>
      <c r="G134" s="1244"/>
      <c r="H134" s="1244"/>
      <c r="I134" s="1244"/>
      <c r="J134" s="1244"/>
      <c r="K134" s="1244"/>
      <c r="T134" s="17"/>
      <c r="U134" s="17"/>
      <c r="AA134" s="32"/>
    </row>
    <row r="135" spans="1:27" ht="39" customHeight="1">
      <c r="A135" s="34">
        <v>43178</v>
      </c>
      <c r="B135" s="1244" t="s">
        <v>3735</v>
      </c>
      <c r="C135" s="1244"/>
      <c r="D135" s="1244"/>
      <c r="E135" s="1244"/>
      <c r="F135" s="1244"/>
      <c r="G135" s="1244"/>
      <c r="H135" s="1244"/>
      <c r="I135" s="1244"/>
      <c r="J135" s="1244"/>
      <c r="K135" s="1244"/>
      <c r="T135" s="17"/>
      <c r="U135" s="17"/>
      <c r="AA135" s="32"/>
    </row>
    <row r="136" spans="1:27">
      <c r="A136" s="34">
        <v>43175</v>
      </c>
      <c r="B136" s="1244" t="s">
        <v>3702</v>
      </c>
      <c r="C136" s="1244"/>
      <c r="D136" s="1244"/>
      <c r="E136" s="1244"/>
      <c r="F136" s="1244"/>
      <c r="G136" s="1244"/>
      <c r="H136" s="1244"/>
      <c r="I136" s="1244"/>
      <c r="J136" s="1244"/>
      <c r="K136" s="1244"/>
      <c r="T136" s="17"/>
      <c r="U136" s="17"/>
      <c r="AA136" s="32"/>
    </row>
    <row r="137" spans="1:27" ht="38.25" customHeight="1">
      <c r="A137" s="34">
        <v>43171</v>
      </c>
      <c r="B137" s="1244" t="s">
        <v>3655</v>
      </c>
      <c r="C137" s="1244"/>
      <c r="D137" s="1244"/>
      <c r="E137" s="1244"/>
      <c r="F137" s="1244"/>
      <c r="G137" s="1244"/>
      <c r="H137" s="1244"/>
      <c r="I137" s="1244"/>
      <c r="J137" s="1244"/>
      <c r="K137" s="1244"/>
      <c r="T137" s="17"/>
      <c r="U137" s="17"/>
      <c r="AA137" s="32"/>
    </row>
    <row r="138" spans="1:27" ht="31.5" customHeight="1">
      <c r="A138" s="34">
        <v>43164</v>
      </c>
      <c r="B138" s="1244" t="s">
        <v>3622</v>
      </c>
      <c r="C138" s="1244"/>
      <c r="D138" s="1244"/>
      <c r="E138" s="1244"/>
      <c r="F138" s="1244"/>
      <c r="G138" s="1244"/>
      <c r="H138" s="1244"/>
      <c r="I138" s="1244"/>
      <c r="J138" s="1244"/>
      <c r="K138" s="1244"/>
      <c r="T138" s="17"/>
      <c r="U138" s="17"/>
      <c r="AA138" s="32"/>
    </row>
    <row r="139" spans="1:27" ht="41.25" customHeight="1">
      <c r="A139" s="34">
        <v>43160</v>
      </c>
      <c r="B139" s="1244" t="s">
        <v>3584</v>
      </c>
      <c r="C139" s="1244"/>
      <c r="D139" s="1244"/>
      <c r="E139" s="1244"/>
      <c r="F139" s="1244"/>
      <c r="G139" s="1244"/>
      <c r="H139" s="1244"/>
      <c r="I139" s="1244"/>
      <c r="J139" s="1244"/>
      <c r="K139" s="1244"/>
      <c r="T139" s="17"/>
      <c r="U139" s="17"/>
      <c r="AA139" s="32"/>
    </row>
    <row r="140" spans="1:27">
      <c r="A140" s="36">
        <v>43158</v>
      </c>
      <c r="B140" s="1" t="s">
        <v>3581</v>
      </c>
      <c r="C140" s="35"/>
      <c r="D140" s="35"/>
      <c r="E140" s="35"/>
      <c r="F140" s="35"/>
      <c r="G140" s="35"/>
      <c r="H140" s="35"/>
      <c r="I140" s="35"/>
      <c r="J140" s="35"/>
      <c r="K140" s="35"/>
      <c r="T140" s="17"/>
      <c r="U140" s="17"/>
      <c r="AA140" s="32"/>
    </row>
    <row r="141" spans="1:27">
      <c r="A141" s="36">
        <v>43150</v>
      </c>
      <c r="B141" s="1" t="s">
        <v>3548</v>
      </c>
      <c r="T141" s="17"/>
      <c r="U141" s="17"/>
      <c r="AA141" s="32"/>
    </row>
    <row r="142" spans="1:27" ht="49.5" customHeight="1">
      <c r="A142" s="34">
        <v>43147</v>
      </c>
      <c r="B142" s="1244" t="s">
        <v>270</v>
      </c>
      <c r="C142" s="1244"/>
      <c r="D142" s="1244"/>
      <c r="E142" s="1244"/>
      <c r="F142" s="1244"/>
      <c r="G142" s="1244"/>
      <c r="H142" s="1244"/>
      <c r="I142" s="1244"/>
      <c r="J142" s="1244"/>
      <c r="K142" s="1244"/>
      <c r="T142" s="17"/>
      <c r="U142" s="17"/>
      <c r="AA142" s="32"/>
    </row>
    <row r="143" spans="1:27">
      <c r="A143" s="36">
        <v>43145</v>
      </c>
      <c r="B143" s="1" t="s">
        <v>271</v>
      </c>
      <c r="T143" s="17"/>
      <c r="U143" s="17"/>
      <c r="AA143" s="32"/>
    </row>
    <row r="144" spans="1:27">
      <c r="A144" s="36">
        <v>43143</v>
      </c>
      <c r="B144" s="1" t="s">
        <v>272</v>
      </c>
      <c r="T144" s="17"/>
      <c r="U144" s="17"/>
      <c r="AA144" s="32"/>
    </row>
    <row r="145" spans="1:27" ht="28.5" customHeight="1">
      <c r="A145" s="34">
        <v>43138</v>
      </c>
      <c r="B145" s="1244" t="s">
        <v>273</v>
      </c>
      <c r="C145" s="1244"/>
      <c r="D145" s="1244"/>
      <c r="E145" s="1244"/>
      <c r="F145" s="1244"/>
      <c r="G145" s="1244"/>
      <c r="H145" s="1244"/>
      <c r="I145" s="1244"/>
      <c r="J145" s="1244"/>
      <c r="K145" s="1244"/>
      <c r="T145" s="17"/>
      <c r="U145" s="17"/>
      <c r="AA145" s="32"/>
    </row>
    <row r="146" spans="1:27">
      <c r="A146" s="36">
        <v>43136</v>
      </c>
      <c r="B146" s="1" t="s">
        <v>274</v>
      </c>
      <c r="T146" s="17"/>
      <c r="U146" s="17"/>
      <c r="AA146" s="32"/>
    </row>
    <row r="147" spans="1:27">
      <c r="A147" s="36">
        <v>43132</v>
      </c>
      <c r="B147" s="1" t="s">
        <v>275</v>
      </c>
      <c r="T147" s="17"/>
      <c r="U147" s="17"/>
      <c r="AA147" s="32"/>
    </row>
    <row r="148" spans="1:27">
      <c r="A148" s="36">
        <v>43122</v>
      </c>
      <c r="B148" s="1" t="s">
        <v>276</v>
      </c>
      <c r="T148" s="17"/>
      <c r="U148" s="17"/>
      <c r="AA148" s="32"/>
    </row>
    <row r="149" spans="1:27">
      <c r="A149" s="36">
        <v>43116</v>
      </c>
      <c r="B149" s="1" t="s">
        <v>277</v>
      </c>
      <c r="T149" s="17"/>
      <c r="U149" s="17"/>
      <c r="AA149" s="32"/>
    </row>
    <row r="150" spans="1:27">
      <c r="A150" s="36">
        <v>43115</v>
      </c>
      <c r="B150" s="1" t="s">
        <v>278</v>
      </c>
      <c r="T150" s="17"/>
      <c r="U150" s="17"/>
      <c r="AA150" s="32"/>
    </row>
    <row r="151" spans="1:27">
      <c r="A151" s="36">
        <v>43111</v>
      </c>
      <c r="B151" s="1" t="s">
        <v>279</v>
      </c>
      <c r="T151" s="17"/>
      <c r="U151" s="17"/>
      <c r="AA151" s="32"/>
    </row>
    <row r="152" spans="1:27">
      <c r="A152" s="36">
        <v>43101</v>
      </c>
      <c r="B152" s="1" t="s">
        <v>280</v>
      </c>
      <c r="T152" s="17"/>
      <c r="U152" s="17"/>
      <c r="AA152" s="32"/>
    </row>
    <row r="153" spans="1:27">
      <c r="T153" s="17"/>
      <c r="U153" s="17"/>
      <c r="AA153" s="32"/>
    </row>
  </sheetData>
  <sheetProtection selectLockedCells="1" selectUnlockedCells="1"/>
  <mergeCells count="127">
    <mergeCell ref="B91:K91"/>
    <mergeCell ref="B93:K93"/>
    <mergeCell ref="B94:K94"/>
    <mergeCell ref="B95:K95"/>
    <mergeCell ref="B125:K125"/>
    <mergeCell ref="B113:K113"/>
    <mergeCell ref="B112:K112"/>
    <mergeCell ref="B108:K108"/>
    <mergeCell ref="B120:K120"/>
    <mergeCell ref="B101:K101"/>
    <mergeCell ref="B102:K102"/>
    <mergeCell ref="A78:B78"/>
    <mergeCell ref="B123:K123"/>
    <mergeCell ref="B119:K119"/>
    <mergeCell ref="B117:K117"/>
    <mergeCell ref="B110:K110"/>
    <mergeCell ref="B104:K104"/>
    <mergeCell ref="B111:K111"/>
    <mergeCell ref="B105:K105"/>
    <mergeCell ref="B106:K106"/>
    <mergeCell ref="B107:K107"/>
    <mergeCell ref="B132:K132"/>
    <mergeCell ref="B122:K122"/>
    <mergeCell ref="B124:K124"/>
    <mergeCell ref="B121:K121"/>
    <mergeCell ref="B131:K131"/>
    <mergeCell ref="B130:K130"/>
    <mergeCell ref="B126:K126"/>
    <mergeCell ref="B127:K127"/>
    <mergeCell ref="B128:K128"/>
    <mergeCell ref="B129:K129"/>
    <mergeCell ref="B145:K145"/>
    <mergeCell ref="B139:K139"/>
    <mergeCell ref="B142:K142"/>
    <mergeCell ref="B137:K137"/>
    <mergeCell ref="B136:K136"/>
    <mergeCell ref="B133:K133"/>
    <mergeCell ref="B138:K138"/>
    <mergeCell ref="B135:K135"/>
    <mergeCell ref="E59:F60"/>
    <mergeCell ref="B103:K103"/>
    <mergeCell ref="A72:B72"/>
    <mergeCell ref="B114:K114"/>
    <mergeCell ref="E76:F76"/>
    <mergeCell ref="B116:K116"/>
    <mergeCell ref="A75:B75"/>
    <mergeCell ref="A73:B73"/>
    <mergeCell ref="B99:K99"/>
    <mergeCell ref="B100:K100"/>
    <mergeCell ref="G59:G60"/>
    <mergeCell ref="A47:B47"/>
    <mergeCell ref="E47:F48"/>
    <mergeCell ref="A50:B50"/>
    <mergeCell ref="A76:B76"/>
    <mergeCell ref="D62:D63"/>
    <mergeCell ref="C70:C71"/>
    <mergeCell ref="E58:F58"/>
    <mergeCell ref="D59:D60"/>
    <mergeCell ref="A61:B61"/>
    <mergeCell ref="A69:B69"/>
    <mergeCell ref="A70:B71"/>
    <mergeCell ref="A74:B74"/>
    <mergeCell ref="E67:F67"/>
    <mergeCell ref="B118:K118"/>
    <mergeCell ref="B134:K134"/>
    <mergeCell ref="E84:F84"/>
    <mergeCell ref="B115:K115"/>
    <mergeCell ref="B98:K98"/>
    <mergeCell ref="A79:B79"/>
    <mergeCell ref="A60:B60"/>
    <mergeCell ref="A43:B43"/>
    <mergeCell ref="A46:B46"/>
    <mergeCell ref="A44:B44"/>
    <mergeCell ref="B109:K109"/>
    <mergeCell ref="A77:B77"/>
    <mergeCell ref="G47:G48"/>
    <mergeCell ref="A48:B48"/>
    <mergeCell ref="E50:F50"/>
    <mergeCell ref="A49:B49"/>
    <mergeCell ref="E49:F49"/>
    <mergeCell ref="E34:F34"/>
    <mergeCell ref="E45:F45"/>
    <mergeCell ref="E29:F29"/>
    <mergeCell ref="A33:B33"/>
    <mergeCell ref="A32:B32"/>
    <mergeCell ref="E46:F46"/>
    <mergeCell ref="A45:B45"/>
    <mergeCell ref="A41:B41"/>
    <mergeCell ref="A42:B42"/>
    <mergeCell ref="E43:F43"/>
    <mergeCell ref="F10:F11"/>
    <mergeCell ref="E33:F33"/>
    <mergeCell ref="E44:F44"/>
    <mergeCell ref="E31:F31"/>
    <mergeCell ref="A8:C11"/>
    <mergeCell ref="E27:F28"/>
    <mergeCell ref="E30:F30"/>
    <mergeCell ref="E26:F26"/>
    <mergeCell ref="E35:F35"/>
    <mergeCell ref="F8:F9"/>
    <mergeCell ref="E32:F32"/>
    <mergeCell ref="A16:B17"/>
    <mergeCell ref="C16:C17"/>
    <mergeCell ref="A25:B25"/>
    <mergeCell ref="A30:B30"/>
    <mergeCell ref="C26:C27"/>
    <mergeCell ref="A29:B29"/>
    <mergeCell ref="A39:B39"/>
    <mergeCell ref="A34:B34"/>
    <mergeCell ref="J1:AA1"/>
    <mergeCell ref="L2:S2"/>
    <mergeCell ref="V2:AA2"/>
    <mergeCell ref="A5:G5"/>
    <mergeCell ref="A14:B14"/>
    <mergeCell ref="G27:G28"/>
    <mergeCell ref="A28:B28"/>
    <mergeCell ref="E8:E9"/>
    <mergeCell ref="B92:K92"/>
    <mergeCell ref="A38:B38"/>
    <mergeCell ref="E10:E11"/>
    <mergeCell ref="A51:B51"/>
    <mergeCell ref="A35:B35"/>
    <mergeCell ref="A36:B36"/>
    <mergeCell ref="A37:B37"/>
    <mergeCell ref="A26:B27"/>
    <mergeCell ref="A40:B40"/>
    <mergeCell ref="A31:B31"/>
  </mergeCells>
  <hyperlinks>
    <hyperlink ref="J7" location="'5_2_Комплектующие'!A1" display="Аэроэлемент конька"/>
    <hyperlink ref="J76" location="'1_1_КРОВЛЯ'!A1" display="Металлочерепица"/>
    <hyperlink ref="J78" location="'1_15_ЭБК GL'!A1" display="Мостик кровельный"/>
    <hyperlink ref="J6" location="'Вся профилировка'!A1" display="Атлас (Atlas)"/>
    <hyperlink ref="J4" location="'1_12_Водосток GL'!A1" display="Алюцинк (AlZn)"/>
    <hyperlink ref="J3" location="'3_3_Виниловый сайдинг'!A1" display="Акриловый сайдинг"/>
    <hyperlink ref="J75" location="'1_19_Проходки MasterFlash'!A1" display="Мастер Флэш"/>
    <hyperlink ref="T4" location="'1_2_Доборные элементы кровли'!A1" display="Нестандартные элементы"/>
    <hyperlink ref="J30" location="'1_3_ФАЛЬЦ'!A1" display="Двойной стоячий фальц"/>
    <hyperlink ref="J63" location="'1_18_Krovent и ТехноНиколь'!A1" display="Кровент (Krovent)"/>
    <hyperlink ref="T65" location="'3_6_Cedral'!A1" display="Фиброцементный сайдинг"/>
    <hyperlink ref="T66" location="'4_1_ЗАБОРЫ'!A1" display="Фигурный профнастил"/>
    <hyperlink ref="T79" location="'1_2_Доборные элементы кровли'!A1" display="Штрипс"/>
    <hyperlink ref="T61" location="'1_21_Fakro'!A1" display="Факро (Fakro)"/>
    <hyperlink ref="T34" location="'4_1_ЗАБОРЫ'!A1" display="Профнастил фигурный"/>
    <hyperlink ref="J13" location="'1_22_VELUX OPTIMA'!A1" display="Велюкс (Velux)"/>
    <hyperlink ref="A14:B14" location="'Ликвидация и Акции'!A1" display="СУПЕР Ликвидация"/>
    <hyperlink ref="E84:F84" location="'9_Адреса офисов'!A1" display="9. АДРЕСА ОФИСОВ ПРОДАЖ"/>
    <hyperlink ref="E27:E28" location="ЗАБОРЫ!A1" display="Профнастил для заборов, перекрытий и мет.штакетник"/>
    <hyperlink ref="A44:A45" location="'Krovent и MasterFlash'!A1" display="Вентиляция Krovent и Проходные элементы кровли Master Flash"/>
    <hyperlink ref="A26:A27" location="'1_1_КРОВЛЯ_1'!A1" display="1.1. Кровельные материалы (черепица, фальц, профнастил)"/>
    <hyperlink ref="T49" location="'1_1_КРОВЛЯ'!A1" display="Софит металлический"/>
    <hyperlink ref="T24" location="'Вся профилировка'!A1" display="Премиум (Premium)"/>
    <hyperlink ref="T10" location="'Вся профилировка'!A1" display="Оптима (Optima)"/>
    <hyperlink ref="J11" location="'5_2_Комплектующие'!A1" display="Брусок"/>
    <hyperlink ref="J54" location="'5_2_Комплектующие'!A1" display="Кляммер"/>
    <hyperlink ref="J66" location="'5_2_Комплектующие'!A1" display="Лента примыкания"/>
    <hyperlink ref="J34" location="'1_1_КРОВЛЯ'!A1" display="Дрипстоп (Dripstop)"/>
    <hyperlink ref="T59" location="'5_2_Комплектующие'!A1" display="Уплотнитель"/>
    <hyperlink ref="T5" location="'5_2_Комплектующие'!A1" display="Никобэнд (Nicoband)"/>
    <hyperlink ref="T45" location="'Вся профилировка'!A1" display="Сафари (Safari)"/>
    <hyperlink ref="T44" location="'Вся профилировка'!A1" display="Сатин (Satin)"/>
    <hyperlink ref="T25" location="'Вся профилировка'!A1" display="Принт (Print)"/>
    <hyperlink ref="T23" location="'Вся профилировка'!A1" display="Полиэстер (Polyester, PE)"/>
    <hyperlink ref="J57" location="'Вся профилировка'!A1" display="Колорити (Colority)"/>
    <hyperlink ref="J49" location="'Вся профилировка'!A1" display="Кварцит Лайт (Quarzit Lite)"/>
    <hyperlink ref="J48" location="'Вся профилировка'!A1" display="Кварцит (Quarzit)"/>
    <hyperlink ref="J33" location="'Вся профилировка'!A1" display="Драп (Drap)"/>
    <hyperlink ref="J14" location="'Вся профилировка'!A1" display="Велюр (Velur)"/>
    <hyperlink ref="T72" location="'Вся профилировка'!A1" display="Цинк-алюминий (ZnAl, ZA)"/>
    <hyperlink ref="E67" location="УПАКОВКА!A1" display="6. УПАКОВКА"/>
    <hyperlink ref="J55" location="'5_3_Утеплители'!A1" display="Кнауф (Knauf)"/>
    <hyperlink ref="T38" location="'5_3_Утеплители'!A1" display="Роквул (Rockwool)"/>
    <hyperlink ref="T50" location="'3_4_Декор эл-ты Mid-America'!A1" display="Ставни"/>
    <hyperlink ref="T48" location="'3_3_Виниловый сайдинг'!A1" display="Софит виниловый"/>
    <hyperlink ref="T42" location="'3_1_ФАСАД'!A1" display="Сайдинг металлический"/>
    <hyperlink ref="T41" location="'3_3_Виниловый сайдинг'!A1" display="Сайдинг виниловый"/>
    <hyperlink ref="T18" location="'5_1_Гидро-пароизоляция'!A1" display="Пленки изоляционные"/>
    <hyperlink ref="T55" location="'6_1_Террасная доска и Теплицы'!A1" display="Теплицы"/>
    <hyperlink ref="T63" location="'3_8_Навесная фасадная система'!A1" display="Фасад вентилируемый"/>
    <hyperlink ref="T62" location="'1_3_ФАЛЬЦ'!A1" display="Фальц двойной стоячий"/>
    <hyperlink ref="T73" location="'3_5_Фасадные панели'!A1" display="Цоколь"/>
    <hyperlink ref="T75" location="'1_4_Мягкая кровля'!A1" display="Шинглас"/>
    <hyperlink ref="T58" location="'5_3_Утеплители'!A1" display="Утеплитель"/>
    <hyperlink ref="T56" location="'6_1_Террасная доска и Теплицы'!A1" display="Террасная доска"/>
    <hyperlink ref="T11" location="'1_4_Мягкая кровля'!A1" display="ОСП (OSB)"/>
    <hyperlink ref="T47" location="'1_15_ЭБК GL'!A1" display="Снегозадержатель"/>
    <hyperlink ref="T67" location="'1_24_Флюгеры'!A1" display="Флюгер"/>
    <hyperlink ref="T78" location="'4_1_ЗАБОРЫ'!A1" display="Штакетник"/>
    <hyperlink ref="T80" location="'1_21_Fakro'!A1" display="Штора"/>
    <hyperlink ref="T84" location="'3_5_Фасадные панели GL'!A1" display="ЯФАСАД"/>
    <hyperlink ref="T9" location="'1_21_Fakro'!A1" display="Окна мансардные"/>
    <hyperlink ref="T8" location="'3_4_Декор эл-ты Mid-America'!A1" display="Окна вентиляционные"/>
    <hyperlink ref="T7" location="'1_16_ЭБК Optima'!A1" display="Ограждение кровельное"/>
    <hyperlink ref="J69" location="'1_21_Fakro'!A1" display="Лестница чердачная"/>
    <hyperlink ref="J68" location="'1_15_ЭБК GL'!A1" display="Лестница стеновая"/>
    <hyperlink ref="J67" location="'1_15_ЭБК GL'!A1" display="Лестница кровельная"/>
    <hyperlink ref="J65" location="'5_2_Комплектующие'!A1" display="Лента карнизная"/>
    <hyperlink ref="J62" location="'5_2_Комплектующие'!A1" display="Корректор"/>
    <hyperlink ref="J58" location="'1_25_Дымники и колпаки на заказ'!A1" display="Колпак"/>
    <hyperlink ref="J50" location="'1_1_КРОВЛЯ'!A1" display="Квинта (Kvinta)"/>
    <hyperlink ref="J46" location="'Вся профилировка'!A1" display="Камея (Kamea)"/>
    <hyperlink ref="J41" location="'5_1_Гидро-пароизоляция'!A1" display="Изоляция"/>
    <hyperlink ref="J56" location="'3_1_ФАСАД'!A1" display="Козырек"/>
    <hyperlink ref="J61" location="'1_7_Композит черепица GL'!A1" display="Композитная черепица"/>
    <hyperlink ref="J53" location="'1_3_ФАЛЬЦ'!A1" display="Кликфальц"/>
    <hyperlink ref="J9" location="'5_5_Инструменты'!A1" display="Бензобур"/>
    <hyperlink ref="J25" location="'5_2_Комплектующие'!A1" display="Герметик"/>
    <hyperlink ref="T52" location="'5_5_Инструменты'!A1" display="Стальной бобер"/>
    <hyperlink ref="J70" location="'5_6_Инструменты 2'!A1" display="Листогибы"/>
    <hyperlink ref="J38" location="'4_2_Панельные ограждения GL'!A1" display="Забор панельный"/>
    <hyperlink ref="J37" location="'4_4_Модульные ограждения GL'!A1" display="Забор модульный"/>
    <hyperlink ref="J22" location="'4_6_Откатные ворота и Шлагбаумы'!A1" display="Ворота"/>
    <hyperlink ref="J45" location="'4_7_Распашные ворота и калитки'!A1" display="Калитки"/>
    <hyperlink ref="J72" location="'1_9_Черепица Luxard'!A1" display="Люксард (Luxard)"/>
    <hyperlink ref="J31" location="'1_8_Композит черепица Decra'!A1" display="Декра (Decra)"/>
    <hyperlink ref="J51" location="'3_6_Cedral'!A1" display="Кедрал (Cedral)"/>
    <hyperlink ref="J43" location="'5_5_Инструменты'!A1" display="Инструменты"/>
    <hyperlink ref="J35" location="'1_25_Дымники и колпаки на заказ'!A1" display="Дымник"/>
    <hyperlink ref="J23" location="'4_5_Временные огр и Рулон сетка'!A1" display="Временные ограждения"/>
    <hyperlink ref="J20" location="'1_12_Водосток GL'!A1" display="Водосток металлический"/>
    <hyperlink ref="J19" location="'1_14_Водосток ПВХ GL Standart'!A1" display="Водосток пластиковый"/>
    <hyperlink ref="J16" location="'1_17_Vilpe'!A1" display="Вентиляция"/>
    <hyperlink ref="E35" location="'Эл-ты ограждений Locinox'!A1" display="Элементы ограждений Locinox"/>
    <hyperlink ref="E34" location="'Распашные ворота и калитки'!A1" display="Распашные ворота и калитки"/>
    <hyperlink ref="E31" location="'Модульные ограждения GL'!A1" display="Модульные ограждения GL"/>
    <hyperlink ref="E30" location="'Эл-ты панельных ограждений'!A1" display="Элементы панельных ограждений GL"/>
    <hyperlink ref="E29" location="'Панельные ограждения GL'!A1" display="Панельные ограждения GL"/>
    <hyperlink ref="E27" location="'Стр.4.1 ЗАБОРЫ'!A1" display="Профнастил для заборов, перекрытий и мет.штакетник"/>
    <hyperlink ref="A44" location="'Стр.1.14 Krovent и MasterFlash'!A1" display="Вентиляция Krovent и Проходные элементы кровли Master Flash"/>
    <hyperlink ref="A40" location="'Вод-к Rohrfit и Optima'!A1" display="Водосток Rohrfit и водосток Optima"/>
    <hyperlink ref="A38" location="'Водосток GL'!A1" display="Водосток GL"/>
    <hyperlink ref="A30" location="'Мягкая кровля'!A1" display="Мягкая кровля"/>
    <hyperlink ref="A35" location="'Черепица Luxard'!A1" display="Композитная черепица Luxard (Россия)"/>
    <hyperlink ref="A34" location="'1_5_Композит черепица Decra'!A1" display="1.5. Композитная черепица Decra (Бельгия)"/>
    <hyperlink ref="A33" location="'1_4_Композит черепица GL'!A1" display="1.4. Композитная металлочерепица Grand Line"/>
    <hyperlink ref="A29" location="'1_3_ФАЛЬЦ'!A1" display="1.3. Фальцевая кровля"/>
    <hyperlink ref="A26" location="'Стр.1.1 КРОВЛЯ'!A1" display="Кровельные материалы (черепица, фальц, профнастил)"/>
    <hyperlink ref="A61:B61" location="'2_1_ЦИНК'!A1" display="2.1. Профилировка и доборные элементы в цинке"/>
    <hyperlink ref="A28:B28" location="'1_2_Доборные элементы кровли'!A1" display="1.2. Доборные элементы кровли, софиты, дымники"/>
    <hyperlink ref="A26:B27" location="'1_1_КРОВЛЯ'!A1" display="1.1. Кровельные материалы (черепица, фальц, профнастил)"/>
    <hyperlink ref="A35:B35" location="'1_9_Черепица Luxard'!A1" display="1.9. Композитная черепица Luxard (Россия)"/>
    <hyperlink ref="A30:B30" location="'1_4_Мягкая кровля'!A1" display="1.4. Мягкая кровля Shinglas"/>
    <hyperlink ref="A38:B38" location="'1_12_Водосток GL'!A1" display="1.12. Водосток GL"/>
    <hyperlink ref="A40:B40" location="'1_14_Водосток ПВХ GL Standart'!A1" display="1.14. Водосток пластиковый GL Standart "/>
    <hyperlink ref="A44:B45" location="'1_18_Krovent и MasterFlash'!A1" display="1.18. Вентиляция Krovent и Проходные элементы кровли Master Flash"/>
    <hyperlink ref="E27:F28" location="'4_1_ЗАБОРЫ'!A1" display="4.1. Профнастил для заборов, перекрытий и мет.штакетник"/>
    <hyperlink ref="E29:F29" location="'4_2_Панельные ограждения'!A1" display="4.2. Панельные ограждения"/>
    <hyperlink ref="E30:F30" location="'4_3_Эл-ты панельных ограждений'!A1" display="4.3. Элементы панельных ограждений"/>
    <hyperlink ref="E31:F31" location="'4_4_Модульные ограждения GL'!A1" display="4.4. Модульные ограждения GL"/>
    <hyperlink ref="E34:F34" location="'4_7_Распашные ворота и калитки'!A1" display="4.7. Распашные ворота и калитки"/>
    <hyperlink ref="E35:F35" location="'4_8_Эл-ты ограждений Locinox'!A1" display="4.8. Элементы ограждений Locinox"/>
    <hyperlink ref="E67:F67" location="'7_УПАКОВКА'!A1" display="7. УПАКОВКА"/>
    <hyperlink ref="J17" location="'3_3_Виниловый сайдинг'!A1" display="Сайдинг виниловый"/>
    <hyperlink ref="E44:F44" location="'5_1_Гидро-пароизоляция'!A1" display="5.1. Гидро-пароизоляция"/>
    <hyperlink ref="E46:F46" location="'5_3_Утеплители'!A1" display="5.3. Утеплители Роквул/Техно/Кнауф"/>
    <hyperlink ref="E49:F49" location="'5_5_Инструменты'!A1" display="5.5. Инструменты"/>
    <hyperlink ref="E50:F50" location="'5_6_Инструменты 2'!A1" display="5.6. Инструменты 2"/>
    <hyperlink ref="E59:F59" location="'6_1_Террасная доска и Теплицы'!A1" display="6.1. Террасная доска МастерДэк и Теплицы"/>
    <hyperlink ref="A72:B72" location="'3_2_Доборные элементы Фасад'!A1" display="3.2. Доборные элементы для фасада"/>
    <hyperlink ref="A73:B73" location="'3_3_Виниловый сайдинг'!A1" display="3.3. Виниловый, акриловый сайдинг"/>
    <hyperlink ref="A74:B74" location="'3_4_Декор эл-ты Mid-America'!A1" display="3.4. Декоративные элементы Mid-America"/>
    <hyperlink ref="A75:B75" location="'3_5_Фасадные панели GL'!A1" display="3.5. Фасадные панели Grand Line"/>
    <hyperlink ref="J79" location="'1_4_Мягкая кровля'!A1" display="Мягкая кровля"/>
    <hyperlink ref="A43" location="Vilpe!A1" display="Вентиляция Vilpe"/>
    <hyperlink ref="A42" location="'ЭБК Optima'!A1" display="Элементы безопасности кровли Optima"/>
    <hyperlink ref="A41" location="'Вод-к Rohrfit и Optima'!A1" display="Водосток Rohrfit и водосток Optima"/>
    <hyperlink ref="A41:B41" location="'1_15_ЭБК GL'!A1" display="1.15. Элементы безопасности кровли Grand Line"/>
    <hyperlink ref="A42:B42" location="'1_16_ЭБК Optima'!A1" display="1.16. Элементы безопасности кровли Optima"/>
    <hyperlink ref="A43:B43" location="'1_17_Vilpe'!A1" display="1.17. Вентиляция Vilpe"/>
    <hyperlink ref="A51" location="'Дымники и колпаки под заказ'!A1" display="Дымники (флюгарка) и колпаки под заказ"/>
    <hyperlink ref="A49" location="'Krovent и MasterFlash'!A1" display="Вентиляция Krovent и Проходные элементы кровли Master Flash"/>
    <hyperlink ref="A50" location="'Стр.1.14 Krovent и MasterFlash'!A1" display="Вентиляция Krovent и Проходные элементы кровли Master Flash"/>
    <hyperlink ref="A48" location="'Вод-к Rohrfit и Optima'!A1" display="Водосток Rohrfit и водосток Optima"/>
    <hyperlink ref="A47" location="'Водосток GL'!A1" display="Водосток GL"/>
    <hyperlink ref="A47:B47" location="'1_21_Fakro'!A1" display="1.21. Мансардные окна и аксессуары Fakro "/>
    <hyperlink ref="A48:B48" location="'1_22_VELUX OPTIMA'!A1" display="1.22. Мансардные окна и аксессуары Velux Optima"/>
    <hyperlink ref="A49:B49" location="'1_23_VELUX PREMIUM'!A1" display="1.23. Мансардные окна и аксессуары Velux Premium"/>
    <hyperlink ref="A50:B50" location="'1_24_Флюгеры'!A1" display="1.24. Флюгеры"/>
    <hyperlink ref="A51:B51" location="'1_25_Дымники и колпаки на заказ'!A1" display="1.25. Дымники (флюгарка) и колпаки под заказ"/>
    <hyperlink ref="E32:F32" location="'4_5_Временные огр и Рулон сетка'!A1" display="4.5. Временные ограждения, рулонная сетка"/>
    <hyperlink ref="J21" location="'3_5_Фасадные панели'!A1" display="Вокс (VOX)"/>
    <hyperlink ref="T64" location="'3_5_Фасадные панели GL'!A1" display="Фасадные панели"/>
    <hyperlink ref="T71" location="'2_1_ЦИНК'!A1" display="Цинк"/>
    <hyperlink ref="T35" location="'Вся профилировка'!A1" display="Пурал (Green Coat Pural)"/>
    <hyperlink ref="T43" location="'5_2_Комплектующие'!A1" display="Саморезы"/>
    <hyperlink ref="E45:F45" location="'5_2_Комплектующие'!A1" display="5.2. Комплектующие"/>
    <hyperlink ref="J39" location="'5_2_Комплектующие'!A1" display="Заклепка вытяжная"/>
    <hyperlink ref="A33:B33" location="'1_7_Композит черепица GL'!A1" display="1.7. Композитная металлочерепица Grand Line"/>
    <hyperlink ref="A34:B34" location="'1_8_Композит черепица Decra'!A1" display="1.8. Композитная черепица Decra (Бельгия)"/>
    <hyperlink ref="J59" location="'1_25_Дымники и колпаки на заказ'!A1" display="Колпак двойной"/>
    <hyperlink ref="J60" location="'1_25_Дымники и колпаки на заказ'!A1" display="Колпак под фонарь"/>
    <hyperlink ref="J74" location="'6_1_Террасная доска и Теплицы'!A1" display="МастерДэк (MasterDeck)"/>
    <hyperlink ref="T19" location="'Вся профилировка'!A1" display="Плоский лист"/>
    <hyperlink ref="J18" location="'4_3_Эл-ты панельных ограждений'!A1" display="Винтовая опора"/>
    <hyperlink ref="J71" location="'4_8_Эл-ты ограждений Locinox'!A1" display="Локинокс (Lokinox)"/>
    <hyperlink ref="T14" location="'4_1_ЗАБОРЫ'!A1" display="Парапетные крышки"/>
    <hyperlink ref="A37:B37" location="'1_11_ЦПЧ и Керамика'!A1" display="1.11. Цементно-песчаная и керамическая черепица"/>
    <hyperlink ref="J52" location="'1_11_ЦПЧ и Керамика'!A1" display="Керамическая черепица"/>
    <hyperlink ref="T39" location="'4_5_Временные огр и Рулон сетка'!A1" display="Рулонная сетка"/>
    <hyperlink ref="T27" location="'3_1_ФАСАД'!A1" display="Профнастил С8"/>
    <hyperlink ref="T28" location="'1_1_КРОВЛЯ'!A1" display="Профнастил С10"/>
    <hyperlink ref="T29" location="'1_1_КРОВЛЯ'!A1" display="Профнастил С20"/>
    <hyperlink ref="T30" location="'1_1_КРОВЛЯ'!A1" display="Профнастил С21"/>
    <hyperlink ref="T31" location="'1_1_КРОВЛЯ'!A1" display="Профнастил НС35"/>
    <hyperlink ref="T32" location="'4_1_ЗАБОРЫ'!A1" display="Профнастил Н60"/>
    <hyperlink ref="T33" location="'4_1_ЗАБОРЫ'!A1" display="Профнастил Н75"/>
    <hyperlink ref="J15" location="'3_8_Навесная фасадная система'!A1" display="Вентилируемый фасад"/>
    <hyperlink ref="E76:F76" location="'8_Рекламная продукция GL'!A1" display="8. РЕКЛАМНАЯ ПРОДУКЦИЯ"/>
    <hyperlink ref="J42" location="'1_5_Мягкая кровля 2'!A1" display="Икопал"/>
    <hyperlink ref="A31:B31" location="'1_5_Мягкая кровля 2'!A1" display="1.5. Мягкая кровля Icopal и CertainTeed"/>
    <hyperlink ref="T26" location="'4_1_ЗАБОРЫ'!A1" display="Профнастил в Print/PE двс"/>
    <hyperlink ref="T69" location="'3_5_Фасадные панели'!A1" display="Хауберк (Hauberk)"/>
    <hyperlink ref="A16:B17" location="'Вся профилировка'!A1" display="Вся профилированная продукция"/>
    <hyperlink ref="A78:B78" location="'3_8_ГК-профиль'!A1" display="3.8. Профили для гипсокартона"/>
    <hyperlink ref="J26" location="'3_8_ГК-профиль'!A1" display="ГК-профили"/>
    <hyperlink ref="T36" location="'Вся профилировка'!A1" display="Пурал Мат (GreenCoat Pural Matt)"/>
    <hyperlink ref="J27" location="'Вся профилировка'!A1" display="ГринКоат Пурал, Пурал Мат (GreenCoat Pural)"/>
    <hyperlink ref="T46" location="'1_5_Мягкая кровля 2'!A1" display="Сертентид (CertainTeed)"/>
    <hyperlink ref="J80" location="'4_1_ЗАБОРЫ'!R1C1" display="Мерный лист"/>
    <hyperlink ref="T76" location="'4_6_Откатные ворота и Шлагбаумы'!A1" display="Ворота"/>
    <hyperlink ref="E33" location="'Откатные ворота GL'!A1" display="Откатные ворота GL"/>
    <hyperlink ref="E33:F33" location="'4_6_Откатные ворота и Шлагбаумы'!A1" display="4.6. Откатные ворота GL и шлагбаумы"/>
    <hyperlink ref="A79:B79" location="'3_9_Навесная фасадная система'!A1" display="3.9. Навесная фасадная система GL"/>
    <hyperlink ref="T3" location="'3_9_Навесная фасадная система'!Область_печати" display="Навесная фасадная система"/>
    <hyperlink ref="T22" location="'6_1_Террасная доска и Теплицы'!A1" display="Поликарбонат"/>
    <hyperlink ref="A36:B36" location="'1_10_Черепица Metrotile'!A1" display="1.10. Композитная черепица Metrotile (Бельгия)"/>
    <hyperlink ref="J77" location="'1_10_Черепица Metrotile'!A1" display="Метротайл (Metrotile)"/>
    <hyperlink ref="T82" location="'1_15_ЭБК GL'!A1" display="Элементы безопасности"/>
    <hyperlink ref="T20" location="'Вся профилировка'!A1" display="Полидекстер (Polydexter)"/>
    <hyperlink ref="A39" location="'Вод-к Rohrfit и Optima'!A1" display="Водосток Rohrfit и водосток Optima"/>
    <hyperlink ref="A39:B39" location="'1_13_Водосток Optima'!A1" display="1.13. Водосток Optima"/>
    <hyperlink ref="T77" location="'6_1_Террасная доска и Теплицы'!A1" display="Шпалерные столбы"/>
    <hyperlink ref="A32:B32" location="'1_6_Битумные материалы'!A1" display="1.6. Битумные материалы"/>
    <hyperlink ref="J10" location="'1_6_Битумные материалы'!A1" display="Битумные материалы"/>
    <hyperlink ref="T53" location="'1_6_Битумные материалы'!A1" display="Стеклоизол"/>
    <hyperlink ref="T16" location="'5_4_Carbon и Planter'!A1" display="Пенополистирол"/>
    <hyperlink ref="J47" location="'5_4_Carbon и Planter'!A1" display="Карбон Эко (Carbon Eco)"/>
    <hyperlink ref="J29" location="'4_1_ЗАБОРЫ'!A1" display="Дачный"/>
    <hyperlink ref="T12" location="'3_2_Доборные элементы Фасад'!A1" display="Отлив"/>
    <hyperlink ref="E47:F48" location="'5_4_Carbon и Planter'!A1" display="5.4. Экструзионный пенополистирол XPS CARBON ECO и профилированные мембраны Planter"/>
    <hyperlink ref="T17" location="'5_4_Carbon и Planter'!A1" display="Плантер (Planter)"/>
    <hyperlink ref="T21" location="'Вся профилировка'!A1" display="Полидекстер Мат (Polydexter Matt)"/>
    <hyperlink ref="A46:B46" location="'1_20_Дымоходы Ferrum'!A1" display="1.20. Дымоходы Ferrum"/>
    <hyperlink ref="J32" location="'1_20_Дымоходы Ferrum'!A1" display="Дымоходы"/>
    <hyperlink ref="A44:B44" location="'1_18_Krovent и ТехноНиколь'!A1" display="1.18. Вентиляция Krovent и ТехноНИКОЛЬ"/>
    <hyperlink ref="A45:B45" location="'1_19_Проходки MasterFlash'!A1" display="1.19. Проходные элементы кровли Master Flash"/>
    <hyperlink ref="A77:B77" location="'3_7_Фиброцементный сайдинг'!A1" display="3.7. Фиброцементный сайдинг Cedral, Мирко"/>
    <hyperlink ref="A70:B71" location="'3_1_ФАСАД'!A1" display="3.1. Фасадный профнастил и мет.сайдинг, навесная фасадная система для ИЖС"/>
    <hyperlink ref="T51" location="'Вся профилировка'!A1" display="Стальной Бархат"/>
    <hyperlink ref="A76:B76" location="'3_6_Фасадные панели'!A1" display="3.6. Фасадные панели Альта-Профиль, VOX, плитка Хауберк"/>
    <hyperlink ref="J5" location="'3_6_Фасадные панели'!A1" display="Альта-Профиль"/>
    <hyperlink ref="J81" location="'3_7_Фиброцементный сайдинг'!A31" display="Мирко"/>
    <hyperlink ref="T15" location="'1_12_Водосток GL'!A1" display="Паук"/>
  </hyperlinks>
  <printOptions horizontalCentered="1"/>
  <pageMargins left="0" right="0" top="0.39370078740157483" bottom="0" header="0" footer="0"/>
  <pageSetup paperSize="9" scale="47" firstPageNumber="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U61"/>
  <sheetViews>
    <sheetView zoomScale="70" zoomScaleNormal="70" zoomScaleSheetLayoutView="40" workbookViewId="0">
      <selection sqref="A1:E1"/>
    </sheetView>
  </sheetViews>
  <sheetFormatPr defaultRowHeight="12.75"/>
  <cols>
    <col min="1" max="1" width="20.42578125" style="46" customWidth="1"/>
    <col min="2" max="2" width="19.85546875" style="54" customWidth="1"/>
    <col min="3" max="3" width="26.85546875" style="54" customWidth="1"/>
    <col min="4" max="4" width="15.28515625" style="46" customWidth="1"/>
    <col min="5" max="5" width="5.7109375" style="46" customWidth="1"/>
    <col min="6" max="6" width="10.85546875" style="46" customWidth="1"/>
    <col min="7" max="7" width="12" style="46" customWidth="1"/>
    <col min="8" max="8" width="11.42578125" style="46" customWidth="1"/>
    <col min="9" max="10" width="12" style="46" customWidth="1"/>
    <col min="11" max="11" width="3" style="46" customWidth="1"/>
    <col min="12" max="12" width="20.140625" style="46" customWidth="1"/>
    <col min="13" max="13" width="20" style="46" customWidth="1"/>
    <col min="14" max="14" width="24.5703125" style="46" customWidth="1"/>
    <col min="15" max="15" width="15" style="46" customWidth="1"/>
    <col min="16" max="16" width="5.5703125" style="46" customWidth="1"/>
    <col min="17" max="17" width="11" style="46" customWidth="1"/>
    <col min="18" max="18" width="11.85546875" style="46" customWidth="1"/>
    <col min="19" max="19" width="11.42578125" style="46" customWidth="1"/>
    <col min="20" max="21" width="11.85546875" style="46" customWidth="1"/>
    <col min="22" max="16384" width="9.140625" style="46"/>
  </cols>
  <sheetData>
    <row r="1" spans="1:21">
      <c r="A1" s="1666" t="s">
        <v>312</v>
      </c>
      <c r="B1" s="1666"/>
      <c r="C1" s="1666"/>
      <c r="D1" s="1666"/>
      <c r="E1" s="1666"/>
      <c r="F1" s="275"/>
      <c r="G1" s="275"/>
      <c r="H1" s="275"/>
      <c r="I1" s="275"/>
      <c r="J1" s="275"/>
      <c r="K1" s="54"/>
      <c r="L1" s="54"/>
      <c r="M1" s="54"/>
      <c r="N1" s="54"/>
      <c r="O1" s="54"/>
      <c r="P1" s="54"/>
      <c r="Q1" s="54"/>
      <c r="T1" s="30"/>
      <c r="U1" s="30"/>
    </row>
    <row r="2" spans="1:21" ht="18.75" thickBot="1">
      <c r="A2" s="1851" t="s">
        <v>1070</v>
      </c>
      <c r="B2" s="1851"/>
      <c r="C2" s="1851"/>
      <c r="D2" s="1851"/>
      <c r="E2" s="1851"/>
      <c r="F2" s="1851"/>
      <c r="G2" s="1851"/>
      <c r="H2" s="1851"/>
      <c r="I2" s="1851"/>
      <c r="J2" s="1851"/>
      <c r="K2" s="1851"/>
      <c r="L2" s="1851"/>
      <c r="M2" s="1851"/>
      <c r="N2" s="1851"/>
      <c r="O2" s="1851"/>
      <c r="P2" s="1851"/>
      <c r="Q2" s="741"/>
      <c r="R2" s="741"/>
      <c r="S2" s="735" t="s">
        <v>313</v>
      </c>
      <c r="T2" s="1852">
        <v>43304</v>
      </c>
      <c r="U2" s="1852"/>
    </row>
    <row r="3" spans="1:21">
      <c r="A3" s="276"/>
      <c r="B3" s="277"/>
      <c r="C3" s="277"/>
      <c r="D3" s="277"/>
      <c r="E3" s="277"/>
      <c r="F3" s="277"/>
      <c r="G3" s="277"/>
      <c r="H3" s="164"/>
      <c r="J3" s="276"/>
      <c r="K3" s="277"/>
      <c r="L3" s="277"/>
      <c r="M3" s="277"/>
      <c r="N3" s="277"/>
      <c r="O3" s="277"/>
      <c r="P3" s="277"/>
      <c r="Q3" s="277"/>
      <c r="R3" s="277"/>
      <c r="S3" s="278" t="s">
        <v>804</v>
      </c>
      <c r="T3" s="1853">
        <v>43250</v>
      </c>
      <c r="U3" s="1853"/>
    </row>
    <row r="4" spans="1:21">
      <c r="A4" s="1388" t="s">
        <v>1071</v>
      </c>
      <c r="B4" s="1388" t="s">
        <v>1132</v>
      </c>
      <c r="C4" s="1495" t="s">
        <v>284</v>
      </c>
      <c r="D4" s="1388" t="s">
        <v>1073</v>
      </c>
      <c r="E4" s="1388" t="s">
        <v>622</v>
      </c>
      <c r="F4" s="1491" t="s">
        <v>3656</v>
      </c>
      <c r="G4" s="1491"/>
      <c r="H4" s="1491"/>
      <c r="I4" s="1491"/>
      <c r="J4" s="1491"/>
      <c r="K4" s="164"/>
      <c r="L4" s="1388" t="s">
        <v>1071</v>
      </c>
      <c r="M4" s="1388" t="s">
        <v>1132</v>
      </c>
      <c r="N4" s="1495" t="s">
        <v>284</v>
      </c>
      <c r="O4" s="1388" t="s">
        <v>1073</v>
      </c>
      <c r="P4" s="1388" t="s">
        <v>622</v>
      </c>
      <c r="Q4" s="1491" t="s">
        <v>3656</v>
      </c>
      <c r="R4" s="1491"/>
      <c r="S4" s="1491"/>
      <c r="T4" s="1491"/>
      <c r="U4" s="1491"/>
    </row>
    <row r="5" spans="1:21" ht="30.75" customHeight="1">
      <c r="A5" s="1388"/>
      <c r="B5" s="1388"/>
      <c r="C5" s="1496"/>
      <c r="D5" s="1388"/>
      <c r="E5" s="1388"/>
      <c r="F5" s="107" t="s">
        <v>3546</v>
      </c>
      <c r="G5" s="107" t="s">
        <v>3605</v>
      </c>
      <c r="H5" s="107" t="s">
        <v>3606</v>
      </c>
      <c r="I5" s="107" t="s">
        <v>3607</v>
      </c>
      <c r="J5" s="107" t="s">
        <v>3608</v>
      </c>
      <c r="K5" s="164"/>
      <c r="L5" s="1388"/>
      <c r="M5" s="1388"/>
      <c r="N5" s="1496"/>
      <c r="O5" s="1388"/>
      <c r="P5" s="1388"/>
      <c r="Q5" s="107" t="s">
        <v>3546</v>
      </c>
      <c r="R5" s="107" t="s">
        <v>3605</v>
      </c>
      <c r="S5" s="107" t="s">
        <v>3606</v>
      </c>
      <c r="T5" s="107" t="s">
        <v>3607</v>
      </c>
      <c r="U5" s="107" t="s">
        <v>3608</v>
      </c>
    </row>
    <row r="6" spans="1:21" ht="15" customHeight="1">
      <c r="A6" s="1465" t="s">
        <v>3657</v>
      </c>
      <c r="B6" s="1466"/>
      <c r="C6" s="1466"/>
      <c r="D6" s="1466"/>
      <c r="E6" s="1466"/>
      <c r="F6" s="1466"/>
      <c r="G6" s="1466"/>
      <c r="H6" s="1466"/>
      <c r="I6" s="1466"/>
      <c r="J6" s="1466"/>
      <c r="K6" s="1466"/>
      <c r="L6" s="1466"/>
      <c r="M6" s="1466"/>
      <c r="N6" s="1466"/>
      <c r="O6" s="1466"/>
      <c r="P6" s="1466"/>
      <c r="Q6" s="1466"/>
      <c r="R6" s="1466"/>
      <c r="S6" s="1466"/>
      <c r="T6" s="1466"/>
      <c r="U6" s="1467"/>
    </row>
    <row r="7" spans="1:21" ht="15" customHeight="1">
      <c r="A7" s="1854"/>
      <c r="B7" s="1857" t="s">
        <v>3658</v>
      </c>
      <c r="C7" s="1351" t="s">
        <v>3667</v>
      </c>
      <c r="D7" s="1860" t="s">
        <v>3659</v>
      </c>
      <c r="E7" s="101" t="s">
        <v>640</v>
      </c>
      <c r="F7" s="962">
        <f>ROUND(441*Belarus*(1-B61),2)</f>
        <v>441</v>
      </c>
      <c r="G7" s="962">
        <f>ROUND(448*Belarus*(1-B61),2)</f>
        <v>448</v>
      </c>
      <c r="H7" s="962">
        <f>ROUND(448*Belarus*(1-B61),2)</f>
        <v>448</v>
      </c>
      <c r="I7" s="962">
        <f>ROUND(448*Belarus*(1-B61),2)</f>
        <v>448</v>
      </c>
      <c r="J7" s="962">
        <f>ROUND(454*Belarus*(1-B61),2)</f>
        <v>454</v>
      </c>
      <c r="K7" s="325"/>
      <c r="L7" s="1854"/>
      <c r="M7" s="1351" t="s">
        <v>3660</v>
      </c>
      <c r="N7" s="1351" t="s">
        <v>3661</v>
      </c>
      <c r="O7" s="1860" t="s">
        <v>3662</v>
      </c>
      <c r="P7" s="101" t="s">
        <v>640</v>
      </c>
      <c r="Q7" s="962">
        <f>ROUND(995*Belarus*(1-C61),2)</f>
        <v>995</v>
      </c>
      <c r="R7" s="962">
        <f>ROUND(1010*Belarus*(1-C61),2)</f>
        <v>1010</v>
      </c>
      <c r="S7" s="962">
        <f>ROUND(1010*Belarus*(1-C61),2)</f>
        <v>1010</v>
      </c>
      <c r="T7" s="962">
        <f>ROUND(1010*Belarus*(1-C61),2)</f>
        <v>1010</v>
      </c>
      <c r="U7" s="962">
        <f>ROUND(1025*Belarus*(1-C61),2)</f>
        <v>1025</v>
      </c>
    </row>
    <row r="8" spans="1:21" ht="15" customHeight="1">
      <c r="A8" s="1855"/>
      <c r="B8" s="1858"/>
      <c r="C8" s="1859"/>
      <c r="D8" s="1860"/>
      <c r="E8" s="101" t="s">
        <v>628</v>
      </c>
      <c r="F8" s="714">
        <f>F7/0.47</f>
        <v>938.29787234042556</v>
      </c>
      <c r="G8" s="714">
        <f>G7/0.47</f>
        <v>953.19148936170222</v>
      </c>
      <c r="H8" s="714">
        <f>H7/0.47</f>
        <v>953.19148936170222</v>
      </c>
      <c r="I8" s="714">
        <f>I7/0.47</f>
        <v>953.19148936170222</v>
      </c>
      <c r="J8" s="714">
        <f>J7/0.47</f>
        <v>965.95744680851067</v>
      </c>
      <c r="K8" s="325"/>
      <c r="L8" s="1855"/>
      <c r="M8" s="1351"/>
      <c r="N8" s="1351"/>
      <c r="O8" s="1860"/>
      <c r="P8" s="101" t="s">
        <v>628</v>
      </c>
      <c r="Q8" s="714">
        <f>Q7/0.8625</f>
        <v>1153.623188405797</v>
      </c>
      <c r="R8" s="714">
        <f>R7/0.8625</f>
        <v>1171.014492753623</v>
      </c>
      <c r="S8" s="714">
        <f>S7/0.8625</f>
        <v>1171.014492753623</v>
      </c>
      <c r="T8" s="714">
        <f>T7/0.8625</f>
        <v>1171.014492753623</v>
      </c>
      <c r="U8" s="714">
        <f>U7/0.8625</f>
        <v>1188.4057971014493</v>
      </c>
    </row>
    <row r="9" spans="1:21" ht="15" customHeight="1">
      <c r="A9" s="1855"/>
      <c r="B9" s="1858"/>
      <c r="C9" s="1351" t="s">
        <v>3661</v>
      </c>
      <c r="D9" s="1860"/>
      <c r="E9" s="101" t="s">
        <v>640</v>
      </c>
      <c r="F9" s="962">
        <f>ROUND(499*Belarus*(1-C61),2)</f>
        <v>499</v>
      </c>
      <c r="G9" s="962">
        <f>ROUND(506*Belarus*(1-C61),2)</f>
        <v>506</v>
      </c>
      <c r="H9" s="962">
        <f>ROUND(506*Belarus*(1-C61),2)</f>
        <v>506</v>
      </c>
      <c r="I9" s="962">
        <f>ROUND(506*Belarus*(1-C61),2)</f>
        <v>506</v>
      </c>
      <c r="J9" s="962">
        <f>ROUND(514*Belarus*(1-C61),2)</f>
        <v>514</v>
      </c>
      <c r="K9" s="325"/>
      <c r="L9" s="1855"/>
      <c r="M9" s="1351"/>
      <c r="N9" s="1351" t="s">
        <v>3664</v>
      </c>
      <c r="O9" s="1860"/>
      <c r="P9" s="1766" t="s">
        <v>640</v>
      </c>
      <c r="Q9" s="1861">
        <f>ROUND(1045*Belarus*(1-C61),2)</f>
        <v>1045</v>
      </c>
      <c r="R9" s="1861">
        <f>ROUND(1061*Belarus*(1-C61),2)</f>
        <v>1061</v>
      </c>
      <c r="S9" s="1861">
        <f>ROUND(1061*Belarus*(1-C61),2)</f>
        <v>1061</v>
      </c>
      <c r="T9" s="1861">
        <f>ROUND(1061*Belarus*(1-C61),2)</f>
        <v>1061</v>
      </c>
      <c r="U9" s="1861">
        <f>ROUND(1076*Belarus*(1-C61),2)</f>
        <v>1076</v>
      </c>
    </row>
    <row r="10" spans="1:21" ht="15" customHeight="1">
      <c r="A10" s="1855"/>
      <c r="B10" s="1858"/>
      <c r="C10" s="1859"/>
      <c r="D10" s="1860"/>
      <c r="E10" s="101" t="s">
        <v>628</v>
      </c>
      <c r="F10" s="714">
        <f>F9/0.47</f>
        <v>1061.7021276595744</v>
      </c>
      <c r="G10" s="714">
        <f>G9/0.47</f>
        <v>1076.5957446808511</v>
      </c>
      <c r="H10" s="714">
        <f>H9/0.47</f>
        <v>1076.5957446808511</v>
      </c>
      <c r="I10" s="714">
        <f>I9/0.47</f>
        <v>1076.5957446808511</v>
      </c>
      <c r="J10" s="714">
        <f>J9/0.47</f>
        <v>1093.6170212765958</v>
      </c>
      <c r="K10" s="325"/>
      <c r="L10" s="1855"/>
      <c r="M10" s="1351"/>
      <c r="N10" s="1351"/>
      <c r="O10" s="1860"/>
      <c r="P10" s="1443"/>
      <c r="Q10" s="1862"/>
      <c r="R10" s="1862"/>
      <c r="S10" s="1862"/>
      <c r="T10" s="1862"/>
      <c r="U10" s="1862"/>
    </row>
    <row r="11" spans="1:21" ht="15" customHeight="1">
      <c r="A11" s="1855"/>
      <c r="B11" s="1858"/>
      <c r="C11" s="1351" t="s">
        <v>3665</v>
      </c>
      <c r="D11" s="1860"/>
      <c r="E11" s="101" t="s">
        <v>640</v>
      </c>
      <c r="F11" s="962">
        <f>ROUND(524*Belarus*(1-C61),2)</f>
        <v>524</v>
      </c>
      <c r="G11" s="962">
        <f>ROUND(532*Belarus*(1-C61),2)</f>
        <v>532</v>
      </c>
      <c r="H11" s="962">
        <f>ROUND(532*Belarus*(1-C61),2)</f>
        <v>532</v>
      </c>
      <c r="I11" s="962">
        <f>ROUND(532*Belarus*(1-C61),2)</f>
        <v>532</v>
      </c>
      <c r="J11" s="962">
        <f>ROUND(540*Belarus*(1-C61),2)</f>
        <v>540</v>
      </c>
      <c r="K11" s="325"/>
      <c r="L11" s="1856"/>
      <c r="M11" s="1351"/>
      <c r="N11" s="1351"/>
      <c r="O11" s="1860"/>
      <c r="P11" s="101" t="s">
        <v>628</v>
      </c>
      <c r="Q11" s="714">
        <f>Q9/0.8625</f>
        <v>1211.5942028985507</v>
      </c>
      <c r="R11" s="714">
        <f>R9/0.8625</f>
        <v>1230.1449275362318</v>
      </c>
      <c r="S11" s="714">
        <f>S9/0.8625</f>
        <v>1230.1449275362318</v>
      </c>
      <c r="T11" s="714">
        <f>T9/0.8625</f>
        <v>1230.1449275362318</v>
      </c>
      <c r="U11" s="714">
        <f>U9/0.8625</f>
        <v>1247.536231884058</v>
      </c>
    </row>
    <row r="12" spans="1:21" ht="15" customHeight="1">
      <c r="A12" s="1856"/>
      <c r="B12" s="1858"/>
      <c r="C12" s="1351"/>
      <c r="D12" s="1860"/>
      <c r="E12" s="101" t="s">
        <v>628</v>
      </c>
      <c r="F12" s="714">
        <f>F11/0.47</f>
        <v>1114.8936170212767</v>
      </c>
      <c r="G12" s="714">
        <f>G11/0.47</f>
        <v>1131.9148936170213</v>
      </c>
      <c r="H12" s="714">
        <f>H11/0.47</f>
        <v>1131.9148936170213</v>
      </c>
      <c r="I12" s="714">
        <f>I11/0.47</f>
        <v>1131.9148936170213</v>
      </c>
      <c r="J12" s="714">
        <f>J11/0.47</f>
        <v>1148.936170212766</v>
      </c>
      <c r="K12" s="325"/>
      <c r="L12" s="1863"/>
      <c r="M12" s="1351" t="s">
        <v>3666</v>
      </c>
      <c r="N12" s="1351" t="s">
        <v>3667</v>
      </c>
      <c r="O12" s="1860" t="s">
        <v>3668</v>
      </c>
      <c r="P12" s="101" t="s">
        <v>640</v>
      </c>
      <c r="Q12" s="962">
        <f>ROUND(1323*Belarus*(1-B61),2)</f>
        <v>1323</v>
      </c>
      <c r="R12" s="962">
        <f>ROUND(1343*Belarus*(1-B61),2)</f>
        <v>1343</v>
      </c>
      <c r="S12" s="962">
        <f>ROUND(1343*Belarus*(1-B61),2)</f>
        <v>1343</v>
      </c>
      <c r="T12" s="962">
        <f>ROUND(1343*Belarus*(1-B61),2)</f>
        <v>1343</v>
      </c>
      <c r="U12" s="962">
        <f>ROUND(1363*Belarus*(1-B61),2)</f>
        <v>1363</v>
      </c>
    </row>
    <row r="13" spans="1:21" ht="15" customHeight="1">
      <c r="A13" s="1854"/>
      <c r="B13" s="1857" t="s">
        <v>3669</v>
      </c>
      <c r="C13" s="1351" t="s">
        <v>6346</v>
      </c>
      <c r="D13" s="1860" t="s">
        <v>3670</v>
      </c>
      <c r="E13" s="101" t="s">
        <v>640</v>
      </c>
      <c r="F13" s="962">
        <f>ROUND(430*Belarus*(1-D61),2)</f>
        <v>430</v>
      </c>
      <c r="G13" s="962">
        <f>ROUND(437*Belarus*(1-D61),2)</f>
        <v>437</v>
      </c>
      <c r="H13" s="962">
        <f>ROUND(437*Belarus*(1-D61),2)</f>
        <v>437</v>
      </c>
      <c r="I13" s="962">
        <f>ROUND(437*Belarus*(1-D61),2)</f>
        <v>437</v>
      </c>
      <c r="J13" s="962">
        <f>ROUND(443*Belarus*(1-D61),2)</f>
        <v>443</v>
      </c>
      <c r="K13" s="325"/>
      <c r="L13" s="1863"/>
      <c r="M13" s="1351"/>
      <c r="N13" s="1351"/>
      <c r="O13" s="1860"/>
      <c r="P13" s="101" t="s">
        <v>628</v>
      </c>
      <c r="Q13" s="714">
        <f>Q12/1.265</f>
        <v>1045.8498023715415</v>
      </c>
      <c r="R13" s="714">
        <f>R12/1.265</f>
        <v>1061.6600790513835</v>
      </c>
      <c r="S13" s="714">
        <f>S12/1.265</f>
        <v>1061.6600790513835</v>
      </c>
      <c r="T13" s="714">
        <f>T12/1.265</f>
        <v>1061.6600790513835</v>
      </c>
      <c r="U13" s="714">
        <f>U12/1.265</f>
        <v>1077.4703557312255</v>
      </c>
    </row>
    <row r="14" spans="1:21" ht="15" customHeight="1">
      <c r="A14" s="1855"/>
      <c r="B14" s="1858"/>
      <c r="C14" s="1351"/>
      <c r="D14" s="1860"/>
      <c r="E14" s="101" t="s">
        <v>628</v>
      </c>
      <c r="F14" s="714">
        <f>F13/0.467</f>
        <v>920.77087794432543</v>
      </c>
      <c r="G14" s="714">
        <f>G13/0.467</f>
        <v>935.76017130620983</v>
      </c>
      <c r="H14" s="714">
        <f>H13/0.467</f>
        <v>935.76017130620983</v>
      </c>
      <c r="I14" s="714">
        <f>I13/0.467</f>
        <v>935.76017130620983</v>
      </c>
      <c r="J14" s="714">
        <f>J13/0.467</f>
        <v>948.60813704496786</v>
      </c>
      <c r="K14" s="325"/>
      <c r="L14" s="1863"/>
      <c r="M14" s="1351"/>
      <c r="N14" s="1351" t="s">
        <v>3671</v>
      </c>
      <c r="O14" s="1860"/>
      <c r="P14" s="1766" t="s">
        <v>640</v>
      </c>
      <c r="Q14" s="1861">
        <f>ROUND(1536*Belarus*(1-C61),2)</f>
        <v>1536</v>
      </c>
      <c r="R14" s="1861">
        <f>ROUND(1559*Belarus*(1-C61),2)</f>
        <v>1559</v>
      </c>
      <c r="S14" s="1861">
        <f>ROUND(1559*Belarus*(1-C61),2)</f>
        <v>1559</v>
      </c>
      <c r="T14" s="1861">
        <f>ROUND(1559*Belarus*(1-C61),2)</f>
        <v>1559</v>
      </c>
      <c r="U14" s="1861">
        <f>ROUND(1582*Belarus*(1-C61),2)</f>
        <v>1582</v>
      </c>
    </row>
    <row r="15" spans="1:21" ht="15" customHeight="1">
      <c r="A15" s="1855"/>
      <c r="B15" s="1858"/>
      <c r="C15" s="1351" t="s">
        <v>6347</v>
      </c>
      <c r="D15" s="1860"/>
      <c r="E15" s="101" t="s">
        <v>640</v>
      </c>
      <c r="F15" s="962">
        <f>ROUND(441*Belarus*(1-D61),2)</f>
        <v>441</v>
      </c>
      <c r="G15" s="962">
        <f>ROUND(448*Belarus*(1-D61),2)</f>
        <v>448</v>
      </c>
      <c r="H15" s="962">
        <f>ROUND(448*Belarus*(1-D61),2)</f>
        <v>448</v>
      </c>
      <c r="I15" s="962">
        <f>ROUND(448*Belarus*(1-D61),2)</f>
        <v>448</v>
      </c>
      <c r="J15" s="962">
        <f>ROUND(454*Belarus*(1-D61),2)</f>
        <v>454</v>
      </c>
      <c r="K15" s="325"/>
      <c r="L15" s="1863"/>
      <c r="M15" s="1351"/>
      <c r="N15" s="1351"/>
      <c r="O15" s="1860"/>
      <c r="P15" s="1442"/>
      <c r="Q15" s="1861"/>
      <c r="R15" s="1861"/>
      <c r="S15" s="1861"/>
      <c r="T15" s="1861"/>
      <c r="U15" s="1861"/>
    </row>
    <row r="16" spans="1:21" ht="15" customHeight="1">
      <c r="A16" s="1855"/>
      <c r="B16" s="1858"/>
      <c r="C16" s="1351"/>
      <c r="D16" s="1860"/>
      <c r="E16" s="101" t="s">
        <v>628</v>
      </c>
      <c r="F16" s="714">
        <f>F15/0.467</f>
        <v>944.32548179871515</v>
      </c>
      <c r="G16" s="714">
        <f>G15/0.467</f>
        <v>959.31477516059954</v>
      </c>
      <c r="H16" s="714">
        <f>H15/0.467</f>
        <v>959.31477516059954</v>
      </c>
      <c r="I16" s="714">
        <f>I15/0.467</f>
        <v>959.31477516059954</v>
      </c>
      <c r="J16" s="714">
        <f>J15/0.467</f>
        <v>972.16274089935757</v>
      </c>
      <c r="K16" s="325"/>
      <c r="L16" s="1863"/>
      <c r="M16" s="1351"/>
      <c r="N16" s="1351"/>
      <c r="O16" s="1860"/>
      <c r="P16" s="1442"/>
      <c r="Q16" s="1861"/>
      <c r="R16" s="1861"/>
      <c r="S16" s="1861"/>
      <c r="T16" s="1861"/>
      <c r="U16" s="1861"/>
    </row>
    <row r="17" spans="1:21" ht="15" customHeight="1">
      <c r="A17" s="1855"/>
      <c r="B17" s="1858"/>
      <c r="C17" s="1351" t="s">
        <v>3661</v>
      </c>
      <c r="D17" s="1860"/>
      <c r="E17" s="101" t="s">
        <v>640</v>
      </c>
      <c r="F17" s="962">
        <f>ROUND(499*Belarus*(1-E61),2)</f>
        <v>499</v>
      </c>
      <c r="G17" s="962">
        <f>ROUND(506*Belarus*(1-E61),2)</f>
        <v>506</v>
      </c>
      <c r="H17" s="962">
        <f>ROUND(506*Belarus*(1-E61),2)</f>
        <v>506</v>
      </c>
      <c r="I17" s="962">
        <f>ROUND(506*Belarus*(1-E61),2)</f>
        <v>506</v>
      </c>
      <c r="J17" s="962">
        <f>ROUND(514*Belarus*(1-E61),2)</f>
        <v>514</v>
      </c>
      <c r="K17" s="325"/>
      <c r="L17" s="1863"/>
      <c r="M17" s="1351"/>
      <c r="N17" s="1351"/>
      <c r="O17" s="1860"/>
      <c r="P17" s="1443"/>
      <c r="Q17" s="1862"/>
      <c r="R17" s="1862"/>
      <c r="S17" s="1862"/>
      <c r="T17" s="1862"/>
      <c r="U17" s="1862"/>
    </row>
    <row r="18" spans="1:21" ht="15" customHeight="1">
      <c r="A18" s="1855"/>
      <c r="B18" s="1858"/>
      <c r="C18" s="1351"/>
      <c r="D18" s="1860"/>
      <c r="E18" s="101" t="s">
        <v>628</v>
      </c>
      <c r="F18" s="714">
        <f>F17/0.467</f>
        <v>1068.5224839400428</v>
      </c>
      <c r="G18" s="714">
        <f>G17/0.467</f>
        <v>1083.5117773019272</v>
      </c>
      <c r="H18" s="714">
        <f>H17/0.467</f>
        <v>1083.5117773019272</v>
      </c>
      <c r="I18" s="714">
        <f>I17/0.467</f>
        <v>1083.5117773019272</v>
      </c>
      <c r="J18" s="714">
        <f>J17/0.467</f>
        <v>1100.6423982869378</v>
      </c>
      <c r="K18" s="325"/>
      <c r="L18" s="1863"/>
      <c r="M18" s="1351"/>
      <c r="N18" s="1351"/>
      <c r="O18" s="1860"/>
      <c r="P18" s="101" t="s">
        <v>628</v>
      </c>
      <c r="Q18" s="714">
        <f>Q14/1.265</f>
        <v>1214.2292490118577</v>
      </c>
      <c r="R18" s="714">
        <f>R14/1.265</f>
        <v>1232.411067193676</v>
      </c>
      <c r="S18" s="714">
        <f>S14/1.265</f>
        <v>1232.411067193676</v>
      </c>
      <c r="T18" s="714">
        <f>T14/1.265</f>
        <v>1232.411067193676</v>
      </c>
      <c r="U18" s="714">
        <f>U14/1.265</f>
        <v>1250.5928853754942</v>
      </c>
    </row>
    <row r="19" spans="1:21" ht="15" customHeight="1">
      <c r="A19" s="1855"/>
      <c r="B19" s="1858"/>
      <c r="C19" s="1351" t="s">
        <v>4505</v>
      </c>
      <c r="D19" s="1860"/>
      <c r="E19" s="286" t="s">
        <v>640</v>
      </c>
      <c r="F19" s="963">
        <f>ROUND(524*Belarus*(1-E61),2)</f>
        <v>524</v>
      </c>
      <c r="G19" s="963">
        <f>ROUND(532*Belarus*(1-E61),2)</f>
        <v>532</v>
      </c>
      <c r="H19" s="963">
        <f>ROUND(532*Belarus*(1-E61),2)</f>
        <v>532</v>
      </c>
      <c r="I19" s="963">
        <f>ROUND(532*Belarus*(1-E61),2)</f>
        <v>532</v>
      </c>
      <c r="J19" s="963">
        <f>ROUND(540*Belarus*(1-E61),2)</f>
        <v>540</v>
      </c>
      <c r="K19" s="325"/>
      <c r="L19" s="1863"/>
      <c r="M19" s="1351" t="s">
        <v>3672</v>
      </c>
      <c r="N19" s="1351" t="s">
        <v>3667</v>
      </c>
      <c r="O19" s="1860" t="s">
        <v>3673</v>
      </c>
      <c r="P19" s="1386" t="s">
        <v>640</v>
      </c>
      <c r="Q19" s="1861">
        <f>ROUND(2645*Belarus*(1-B61),2)</f>
        <v>2645</v>
      </c>
      <c r="R19" s="1861">
        <f>ROUND(2685*Belarus*(1-B61),2)</f>
        <v>2685</v>
      </c>
      <c r="S19" s="1861">
        <f>ROUND(2685*Belarus*(1-B61),2)</f>
        <v>2685</v>
      </c>
      <c r="T19" s="1861">
        <f>ROUND(2685*Belarus*(1-B61),2)</f>
        <v>2685</v>
      </c>
      <c r="U19" s="1861">
        <f>ROUND(2724*Belarus*(1-B61),2)</f>
        <v>2724</v>
      </c>
    </row>
    <row r="20" spans="1:21" ht="15" customHeight="1">
      <c r="A20" s="1856"/>
      <c r="B20" s="1858"/>
      <c r="C20" s="1351"/>
      <c r="D20" s="1860"/>
      <c r="E20" s="286" t="s">
        <v>628</v>
      </c>
      <c r="F20" s="720">
        <f>F19/0.467</f>
        <v>1122.0556745182012</v>
      </c>
      <c r="G20" s="720">
        <f>G19/0.467</f>
        <v>1139.186295503212</v>
      </c>
      <c r="H20" s="720">
        <f>H19/0.467</f>
        <v>1139.186295503212</v>
      </c>
      <c r="I20" s="720">
        <f>I19/0.467</f>
        <v>1139.186295503212</v>
      </c>
      <c r="J20" s="720">
        <f>J19/0.467</f>
        <v>1156.3169164882227</v>
      </c>
      <c r="K20" s="325"/>
      <c r="L20" s="1863"/>
      <c r="M20" s="1351"/>
      <c r="N20" s="1351"/>
      <c r="O20" s="1860"/>
      <c r="P20" s="1386"/>
      <c r="Q20" s="1862"/>
      <c r="R20" s="1862"/>
      <c r="S20" s="1862"/>
      <c r="T20" s="1862"/>
      <c r="U20" s="1862"/>
    </row>
    <row r="21" spans="1:21" ht="15" customHeight="1">
      <c r="A21" s="1450"/>
      <c r="B21" s="1865" t="s">
        <v>3674</v>
      </c>
      <c r="C21" s="1868" t="s">
        <v>3663</v>
      </c>
      <c r="D21" s="1870" t="s">
        <v>4506</v>
      </c>
      <c r="E21" s="101" t="s">
        <v>640</v>
      </c>
      <c r="F21" s="962">
        <f>ROUND(552*Belarus*(1-G61),2)</f>
        <v>552</v>
      </c>
      <c r="G21" s="962">
        <f>ROUND(560*Belarus*(1-G61),2)</f>
        <v>560</v>
      </c>
      <c r="H21" s="962">
        <f>ROUND(560*Belarus*(1-G61),2)</f>
        <v>560</v>
      </c>
      <c r="I21" s="962">
        <f>ROUND(560*Belarus*(1-G61),2)</f>
        <v>560</v>
      </c>
      <c r="J21" s="962">
        <f>ROUND(569*Belarus*(1-G61),2)</f>
        <v>569</v>
      </c>
      <c r="K21" s="325"/>
      <c r="L21" s="1863"/>
      <c r="M21" s="1351"/>
      <c r="N21" s="1351"/>
      <c r="O21" s="1860"/>
      <c r="P21" s="1386" t="s">
        <v>628</v>
      </c>
      <c r="Q21" s="1873">
        <f>Q19/2.4725</f>
        <v>1069.7674418604649</v>
      </c>
      <c r="R21" s="1873">
        <f>R19/2.4725</f>
        <v>1085.9453993933266</v>
      </c>
      <c r="S21" s="1873">
        <f>S19/2.4725</f>
        <v>1085.9453993933266</v>
      </c>
      <c r="T21" s="1873">
        <f>T19/2.4725</f>
        <v>1085.9453993933266</v>
      </c>
      <c r="U21" s="1873">
        <f>U19/2.4725</f>
        <v>1101.7189079878665</v>
      </c>
    </row>
    <row r="22" spans="1:21" ht="15" customHeight="1">
      <c r="A22" s="1864"/>
      <c r="B22" s="1866"/>
      <c r="C22" s="1869"/>
      <c r="D22" s="1871"/>
      <c r="E22" s="101" t="s">
        <v>628</v>
      </c>
      <c r="F22" s="714">
        <f>F21/0.418</f>
        <v>1320.5741626794259</v>
      </c>
      <c r="G22" s="714">
        <f>G21/0.418</f>
        <v>1339.7129186602872</v>
      </c>
      <c r="H22" s="714">
        <f>H21/0.418</f>
        <v>1339.7129186602872</v>
      </c>
      <c r="I22" s="714">
        <f>I21/0.418</f>
        <v>1339.7129186602872</v>
      </c>
      <c r="J22" s="714">
        <f>J21/0.418</f>
        <v>1361.2440191387561</v>
      </c>
      <c r="K22" s="325"/>
      <c r="L22" s="1863"/>
      <c r="M22" s="1351"/>
      <c r="N22" s="1351"/>
      <c r="O22" s="1860"/>
      <c r="P22" s="1386"/>
      <c r="Q22" s="1873"/>
      <c r="R22" s="1873"/>
      <c r="S22" s="1873"/>
      <c r="T22" s="1873"/>
      <c r="U22" s="1873"/>
    </row>
    <row r="23" spans="1:21" ht="15" customHeight="1">
      <c r="A23" s="1864"/>
      <c r="B23" s="1866"/>
      <c r="C23" s="1868" t="s">
        <v>3671</v>
      </c>
      <c r="D23" s="1871"/>
      <c r="E23" s="286" t="s">
        <v>640</v>
      </c>
      <c r="F23" s="963">
        <f>ROUND(581*Belarus*(1-G61),2)</f>
        <v>581</v>
      </c>
      <c r="G23" s="963">
        <f>ROUND(590*Belarus*(1-G61),2)</f>
        <v>590</v>
      </c>
      <c r="H23" s="963">
        <f>ROUND(590*Belarus*(1-G61),2)</f>
        <v>590</v>
      </c>
      <c r="I23" s="963">
        <f>ROUND(590*Belarus*(1-G61),2)</f>
        <v>590</v>
      </c>
      <c r="J23" s="963">
        <f>ROUND(598*Belarus*(1-G61),2)</f>
        <v>598</v>
      </c>
      <c r="K23" s="325"/>
      <c r="L23" s="1863"/>
      <c r="M23" s="1351"/>
      <c r="N23" s="1351" t="s">
        <v>3671</v>
      </c>
      <c r="O23" s="1860"/>
      <c r="P23" s="1386" t="s">
        <v>640</v>
      </c>
      <c r="Q23" s="1861">
        <f>ROUND(3000*Belarus*(1-C61),2)</f>
        <v>3000</v>
      </c>
      <c r="R23" s="1861">
        <f>ROUND(3045*Belarus*(1-C61),2)</f>
        <v>3045</v>
      </c>
      <c r="S23" s="1861">
        <f>ROUND(3045*Belarus*(1-C61),2)</f>
        <v>3045</v>
      </c>
      <c r="T23" s="1861">
        <f>ROUND(3045*Belarus*(1-C61),2)</f>
        <v>3045</v>
      </c>
      <c r="U23" s="1861">
        <f>ROUND(3090*Belarus*(1-C61),2)</f>
        <v>3090</v>
      </c>
    </row>
    <row r="24" spans="1:21" ht="28.5" customHeight="1">
      <c r="A24" s="1451"/>
      <c r="B24" s="1867"/>
      <c r="C24" s="1869"/>
      <c r="D24" s="1872"/>
      <c r="E24" s="101" t="s">
        <v>628</v>
      </c>
      <c r="F24" s="714">
        <f>F23/0.418</f>
        <v>1389.9521531100479</v>
      </c>
      <c r="G24" s="714">
        <f>G23/0.418</f>
        <v>1411.4832535885168</v>
      </c>
      <c r="H24" s="714">
        <f>H23/0.418</f>
        <v>1411.4832535885168</v>
      </c>
      <c r="I24" s="714">
        <f>I23/0.418</f>
        <v>1411.4832535885168</v>
      </c>
      <c r="J24" s="714">
        <f>J23/0.418</f>
        <v>1430.622009569378</v>
      </c>
      <c r="K24" s="325"/>
      <c r="L24" s="1863"/>
      <c r="M24" s="1351"/>
      <c r="N24" s="1351"/>
      <c r="O24" s="1860"/>
      <c r="P24" s="1386"/>
      <c r="Q24" s="1862"/>
      <c r="R24" s="1862"/>
      <c r="S24" s="1862"/>
      <c r="T24" s="1862"/>
      <c r="U24" s="1862"/>
    </row>
    <row r="25" spans="1:21">
      <c r="A25" s="1450"/>
      <c r="B25" s="1865" t="s">
        <v>4507</v>
      </c>
      <c r="C25" s="1868" t="s">
        <v>4515</v>
      </c>
      <c r="D25" s="1870" t="s">
        <v>4508</v>
      </c>
      <c r="E25" s="101" t="s">
        <v>640</v>
      </c>
      <c r="F25" s="962">
        <f>ROUND(555*Belarus*(1-G61),2)</f>
        <v>555</v>
      </c>
      <c r="G25" s="962">
        <f>ROUND(563*Belarus*(1-G61),2)</f>
        <v>563</v>
      </c>
      <c r="H25" s="962">
        <f>ROUND(563*Belarus*(1-G61),2)</f>
        <v>563</v>
      </c>
      <c r="I25" s="962">
        <f>ROUND(563*Belarus*(1-G61),2)</f>
        <v>563</v>
      </c>
      <c r="J25" s="962">
        <f>ROUND(572*Belarus*(1-G61),2)</f>
        <v>572</v>
      </c>
      <c r="K25" s="325"/>
      <c r="L25" s="1863"/>
      <c r="M25" s="1351"/>
      <c r="N25" s="1351"/>
      <c r="O25" s="1860"/>
      <c r="P25" s="1386" t="s">
        <v>628</v>
      </c>
      <c r="Q25" s="1873">
        <f>Q23/2.4725</f>
        <v>1213.3468149646108</v>
      </c>
      <c r="R25" s="1873">
        <f>R23/2.4725</f>
        <v>1231.5470171890797</v>
      </c>
      <c r="S25" s="1873">
        <f>S23/2.4725</f>
        <v>1231.5470171890797</v>
      </c>
      <c r="T25" s="1873">
        <f>T23/2.4725</f>
        <v>1231.5470171890797</v>
      </c>
      <c r="U25" s="1873">
        <f>U23/2.4725</f>
        <v>1249.7472194135489</v>
      </c>
    </row>
    <row r="26" spans="1:21">
      <c r="A26" s="1864"/>
      <c r="B26" s="1866"/>
      <c r="C26" s="1869"/>
      <c r="D26" s="1871"/>
      <c r="E26" s="286" t="s">
        <v>628</v>
      </c>
      <c r="F26" s="720">
        <f>F25/0.49</f>
        <v>1132.6530612244899</v>
      </c>
      <c r="G26" s="720">
        <f>G25/0.49</f>
        <v>1148.9795918367347</v>
      </c>
      <c r="H26" s="720">
        <f>H25/0.49</f>
        <v>1148.9795918367347</v>
      </c>
      <c r="I26" s="720">
        <f>I25/0.49</f>
        <v>1148.9795918367347</v>
      </c>
      <c r="J26" s="720">
        <f>J25/0.49</f>
        <v>1167.3469387755101</v>
      </c>
      <c r="K26" s="325"/>
      <c r="L26" s="1863"/>
      <c r="M26" s="1351"/>
      <c r="N26" s="1351"/>
      <c r="O26" s="1860"/>
      <c r="P26" s="1386"/>
      <c r="Q26" s="1873"/>
      <c r="R26" s="1873"/>
      <c r="S26" s="1873"/>
      <c r="T26" s="1873"/>
      <c r="U26" s="1873"/>
    </row>
    <row r="27" spans="1:21" ht="20.25" customHeight="1">
      <c r="A27" s="1864"/>
      <c r="B27" s="1866"/>
      <c r="C27" s="1868" t="s">
        <v>4509</v>
      </c>
      <c r="D27" s="1871"/>
      <c r="E27" s="101" t="s">
        <v>640</v>
      </c>
      <c r="F27" s="962">
        <f>ROUND(584*Belarus*(1-G61),2)</f>
        <v>584</v>
      </c>
      <c r="G27" s="962">
        <f>ROUND(593*Belarus*(1-G61),2)</f>
        <v>593</v>
      </c>
      <c r="H27" s="962">
        <f>ROUND(593*Belarus*(1-G61),2)</f>
        <v>593</v>
      </c>
      <c r="I27" s="962">
        <f>ROUND(593*Belarus*(1-G61),2)</f>
        <v>593</v>
      </c>
      <c r="J27" s="962">
        <f>ROUND(602*Belarus*(1-G61),2)</f>
        <v>602</v>
      </c>
      <c r="K27" s="325"/>
      <c r="L27" s="710"/>
      <c r="M27" s="127"/>
      <c r="N27" s="127"/>
      <c r="O27" s="711"/>
      <c r="P27" s="76"/>
      <c r="Q27" s="954"/>
      <c r="R27" s="954"/>
      <c r="S27" s="954"/>
      <c r="T27" s="954"/>
      <c r="U27" s="954"/>
    </row>
    <row r="28" spans="1:21" ht="21" customHeight="1">
      <c r="A28" s="1451"/>
      <c r="B28" s="1867"/>
      <c r="C28" s="1869"/>
      <c r="D28" s="1872"/>
      <c r="E28" s="101" t="s">
        <v>628</v>
      </c>
      <c r="F28" s="955">
        <f>F27/0.49</f>
        <v>1191.8367346938776</v>
      </c>
      <c r="G28" s="955">
        <f>G27/0.49</f>
        <v>1210.204081632653</v>
      </c>
      <c r="H28" s="955">
        <f>H27/0.49</f>
        <v>1210.204081632653</v>
      </c>
      <c r="I28" s="955">
        <f>I27/0.49</f>
        <v>1210.204081632653</v>
      </c>
      <c r="J28" s="955">
        <f>J27/0.49</f>
        <v>1228.5714285714287</v>
      </c>
      <c r="K28" s="325"/>
      <c r="L28" s="710"/>
      <c r="M28" s="127"/>
      <c r="N28" s="127"/>
      <c r="O28" s="711"/>
      <c r="P28" s="76"/>
      <c r="Q28" s="954"/>
      <c r="R28" s="954"/>
      <c r="S28" s="954"/>
      <c r="T28" s="954"/>
      <c r="U28" s="954"/>
    </row>
    <row r="29" spans="1:21" s="96" customFormat="1">
      <c r="A29" s="710"/>
      <c r="B29" s="127"/>
      <c r="C29" s="127"/>
      <c r="D29" s="711"/>
      <c r="E29" s="76"/>
      <c r="H29" s="712"/>
      <c r="J29" s="400"/>
      <c r="K29" s="164"/>
      <c r="L29" s="191"/>
      <c r="M29" s="127"/>
      <c r="N29" s="127"/>
      <c r="O29" s="191"/>
      <c r="P29" s="76"/>
      <c r="Q29" s="164"/>
      <c r="R29" s="164"/>
      <c r="S29" s="713"/>
      <c r="T29" s="290"/>
      <c r="U29" s="290"/>
    </row>
    <row r="30" spans="1:21" s="96" customFormat="1" ht="21.75" customHeight="1">
      <c r="A30" s="1388" t="s">
        <v>1071</v>
      </c>
      <c r="B30" s="1388" t="s">
        <v>1132</v>
      </c>
      <c r="C30" s="1495" t="s">
        <v>284</v>
      </c>
      <c r="D30" s="1388" t="s">
        <v>1073</v>
      </c>
      <c r="E30" s="1388" t="s">
        <v>622</v>
      </c>
      <c r="F30" s="1491" t="s">
        <v>3656</v>
      </c>
      <c r="G30" s="1491"/>
      <c r="H30" s="1491"/>
      <c r="I30" s="1491"/>
      <c r="J30" s="1491"/>
      <c r="K30" s="164"/>
      <c r="L30" s="1388" t="s">
        <v>1071</v>
      </c>
      <c r="M30" s="1388" t="s">
        <v>1132</v>
      </c>
      <c r="N30" s="1495" t="s">
        <v>284</v>
      </c>
      <c r="O30" s="1388" t="s">
        <v>1073</v>
      </c>
      <c r="P30" s="1388" t="s">
        <v>622</v>
      </c>
      <c r="Q30" s="1491" t="s">
        <v>3656</v>
      </c>
      <c r="R30" s="1491"/>
      <c r="S30" s="1491"/>
      <c r="T30" s="1491"/>
      <c r="U30" s="1491"/>
    </row>
    <row r="31" spans="1:21" s="96" customFormat="1" ht="30" customHeight="1">
      <c r="A31" s="1388"/>
      <c r="B31" s="1388"/>
      <c r="C31" s="1496"/>
      <c r="D31" s="1388"/>
      <c r="E31" s="1388"/>
      <c r="F31" s="107" t="s">
        <v>3546</v>
      </c>
      <c r="G31" s="107" t="s">
        <v>3605</v>
      </c>
      <c r="H31" s="107" t="s">
        <v>3606</v>
      </c>
      <c r="I31" s="107" t="s">
        <v>3607</v>
      </c>
      <c r="J31" s="107" t="s">
        <v>3608</v>
      </c>
      <c r="K31" s="164"/>
      <c r="L31" s="1388"/>
      <c r="M31" s="1388"/>
      <c r="N31" s="1496"/>
      <c r="O31" s="1388"/>
      <c r="P31" s="1388"/>
      <c r="Q31" s="107" t="s">
        <v>3546</v>
      </c>
      <c r="R31" s="107" t="s">
        <v>3605</v>
      </c>
      <c r="S31" s="107" t="s">
        <v>3606</v>
      </c>
      <c r="T31" s="107" t="s">
        <v>3607</v>
      </c>
      <c r="U31" s="107" t="s">
        <v>3608</v>
      </c>
    </row>
    <row r="32" spans="1:21" s="96" customFormat="1" ht="17.25" customHeight="1">
      <c r="A32" s="1874" t="s">
        <v>1087</v>
      </c>
      <c r="B32" s="1874"/>
      <c r="C32" s="1874"/>
      <c r="D32" s="1874"/>
      <c r="E32" s="1874"/>
      <c r="F32" s="1874"/>
      <c r="G32" s="1874"/>
      <c r="H32" s="1874"/>
      <c r="I32" s="1874"/>
      <c r="J32" s="1874"/>
      <c r="K32" s="164"/>
      <c r="L32" s="1539" t="s">
        <v>1075</v>
      </c>
      <c r="M32" s="1539"/>
      <c r="N32" s="1539"/>
      <c r="O32" s="1539"/>
      <c r="P32" s="1539"/>
      <c r="Q32" s="1539"/>
      <c r="R32" s="1539"/>
      <c r="S32" s="1539"/>
      <c r="T32" s="1539"/>
      <c r="U32" s="1539"/>
    </row>
    <row r="33" spans="1:21" s="96" customFormat="1" ht="30.75" customHeight="1">
      <c r="A33" s="1869" t="s">
        <v>1088</v>
      </c>
      <c r="B33" s="1869"/>
      <c r="C33" s="179" t="s">
        <v>1089</v>
      </c>
      <c r="D33" s="281" t="s">
        <v>1090</v>
      </c>
      <c r="E33" s="80" t="s">
        <v>640</v>
      </c>
      <c r="F33" s="714">
        <f>ROUND(2415*Belarus*(1-I61),2)</f>
        <v>2415</v>
      </c>
      <c r="G33" s="714">
        <f>ROUND(2451*Belarus*(1-I61),2)</f>
        <v>2451</v>
      </c>
      <c r="H33" s="714">
        <f>ROUND(2451*Belarus*(1-I61),2)</f>
        <v>2451</v>
      </c>
      <c r="I33" s="714">
        <f>ROUND(2451*Belarus*(1-I61),2)</f>
        <v>2451</v>
      </c>
      <c r="J33" s="714">
        <f>ROUND(2487*Belarus*(1-I61),2)</f>
        <v>2487</v>
      </c>
      <c r="K33" s="164"/>
      <c r="L33" s="1409" t="s">
        <v>1076</v>
      </c>
      <c r="M33" s="1411"/>
      <c r="N33" s="1351" t="s">
        <v>1077</v>
      </c>
      <c r="O33" s="122" t="s">
        <v>1078</v>
      </c>
      <c r="P33" s="101" t="s">
        <v>640</v>
      </c>
      <c r="Q33" s="715">
        <f>ROUND(1000*Belarus*(1-I61),2)</f>
        <v>1000</v>
      </c>
      <c r="R33" s="715">
        <f>ROUND(1015*Belarus*(1-I61),2)</f>
        <v>1015</v>
      </c>
      <c r="S33" s="715">
        <f>ROUND(1015*Belarus*(1-I61),2)</f>
        <v>1015</v>
      </c>
      <c r="T33" s="715">
        <f>ROUND(1015*Belarus*(1-I61),2)</f>
        <v>1015</v>
      </c>
      <c r="U33" s="715">
        <f>ROUND(1030*Belarus*(1-I61),2)</f>
        <v>1030</v>
      </c>
    </row>
    <row r="34" spans="1:21" s="96" customFormat="1" ht="19.5" customHeight="1">
      <c r="A34" s="1351" t="s">
        <v>1091</v>
      </c>
      <c r="B34" s="1351"/>
      <c r="C34" s="1351" t="s">
        <v>1092</v>
      </c>
      <c r="D34" s="279" t="s">
        <v>1093</v>
      </c>
      <c r="E34" s="708" t="s">
        <v>640</v>
      </c>
      <c r="F34" s="716">
        <f>ROUND(2760*Belarus*(1-I61),2)</f>
        <v>2760</v>
      </c>
      <c r="G34" s="716">
        <f>ROUND(2801*Belarus*(1-I61),2)</f>
        <v>2801</v>
      </c>
      <c r="H34" s="716">
        <f>ROUND(2801*Belarus*(1-I61),2)</f>
        <v>2801</v>
      </c>
      <c r="I34" s="716">
        <f>ROUND(2801*Belarus*(1-I61),2)</f>
        <v>2801</v>
      </c>
      <c r="J34" s="716">
        <f>ROUND(2843*Belarus*(1-I61),2)</f>
        <v>2843</v>
      </c>
      <c r="K34" s="164"/>
      <c r="L34" s="1418" t="s">
        <v>1079</v>
      </c>
      <c r="M34" s="1420"/>
      <c r="N34" s="1351"/>
      <c r="O34" s="1351" t="s">
        <v>1080</v>
      </c>
      <c r="P34" s="1386" t="s">
        <v>640</v>
      </c>
      <c r="Q34" s="1875">
        <f>ROUND(472*Belarus*(1-I61),2)</f>
        <v>472</v>
      </c>
      <c r="R34" s="1875">
        <f>ROUND(472*Belarus*(1-I61),2)</f>
        <v>472</v>
      </c>
      <c r="S34" s="1875">
        <f>ROUND(472*Belarus*(1-I61),2)</f>
        <v>472</v>
      </c>
      <c r="T34" s="1875">
        <f>ROUND(472*Belarus*(1-I61),2)</f>
        <v>472</v>
      </c>
      <c r="U34" s="1875">
        <f>ROUND(472*Belarus*(1-I61),2)</f>
        <v>472</v>
      </c>
    </row>
    <row r="35" spans="1:21" s="96" customFormat="1" ht="19.5" customHeight="1">
      <c r="A35" s="1351" t="s">
        <v>1094</v>
      </c>
      <c r="B35" s="1351"/>
      <c r="C35" s="1351"/>
      <c r="D35" s="279" t="s">
        <v>1095</v>
      </c>
      <c r="E35" s="708" t="s">
        <v>640</v>
      </c>
      <c r="F35" s="716">
        <f>ROUND(448.5*Belarus*(1-I61),2)</f>
        <v>448.5</v>
      </c>
      <c r="G35" s="716">
        <f>ROUND(455*Belarus*(1-I61),2)</f>
        <v>455</v>
      </c>
      <c r="H35" s="716">
        <f>ROUND(455*Belarus*(1-I61),2)</f>
        <v>455</v>
      </c>
      <c r="I35" s="716">
        <f>ROUND(455*Belarus*(1-I61),2)</f>
        <v>455</v>
      </c>
      <c r="J35" s="716">
        <f>ROUND(462*Belarus*(1-I61),2)</f>
        <v>462</v>
      </c>
      <c r="K35" s="164"/>
      <c r="L35" s="1424"/>
      <c r="M35" s="1426"/>
      <c r="N35" s="1351"/>
      <c r="O35" s="1351"/>
      <c r="P35" s="1386"/>
      <c r="Q35" s="1876"/>
      <c r="R35" s="1876"/>
      <c r="S35" s="1876"/>
      <c r="T35" s="1876"/>
      <c r="U35" s="1876"/>
    </row>
    <row r="36" spans="1:21" s="96" customFormat="1" ht="25.5" customHeight="1">
      <c r="A36" s="1351" t="s">
        <v>3675</v>
      </c>
      <c r="B36" s="1351"/>
      <c r="C36" s="279" t="s">
        <v>3676</v>
      </c>
      <c r="D36" s="283" t="s">
        <v>1093</v>
      </c>
      <c r="E36" s="717" t="s">
        <v>1096</v>
      </c>
      <c r="F36" s="1877" t="s">
        <v>1097</v>
      </c>
      <c r="G36" s="1877"/>
      <c r="H36" s="1877"/>
      <c r="I36" s="1877"/>
      <c r="J36" s="1877"/>
      <c r="K36" s="164"/>
      <c r="L36" s="1409" t="s">
        <v>3677</v>
      </c>
      <c r="M36" s="1411"/>
      <c r="N36" s="292" t="s">
        <v>3678</v>
      </c>
      <c r="O36" s="122" t="s">
        <v>1081</v>
      </c>
      <c r="P36" s="101" t="s">
        <v>1082</v>
      </c>
      <c r="Q36" s="715">
        <f>ROUND(6012*Belarus*(1-I61),2)</f>
        <v>6012</v>
      </c>
      <c r="R36" s="715">
        <f>ROUND(6102*Belarus*(1-I61),2)</f>
        <v>6102</v>
      </c>
      <c r="S36" s="715">
        <f>ROUND(6102*Belarus*(1-I61),2)</f>
        <v>6102</v>
      </c>
      <c r="T36" s="715">
        <f>ROUND(6012*Belarus*(1-I61),2)</f>
        <v>6012</v>
      </c>
      <c r="U36" s="715">
        <f>ROUND(6192*Belarus*(1-I61),2)</f>
        <v>6192</v>
      </c>
    </row>
    <row r="37" spans="1:21" s="96" customFormat="1" ht="30.75" customHeight="1">
      <c r="A37" s="1351" t="s">
        <v>1101</v>
      </c>
      <c r="B37" s="1351"/>
      <c r="C37" s="175" t="s">
        <v>1102</v>
      </c>
      <c r="D37" s="283" t="s">
        <v>1093</v>
      </c>
      <c r="E37" s="717" t="s">
        <v>640</v>
      </c>
      <c r="F37" s="716">
        <f>ROUND(2127.5*Belarus*(1-I61),2)</f>
        <v>2127.5</v>
      </c>
      <c r="G37" s="716">
        <f>ROUND(2159*Belarus*(1-I61),2)</f>
        <v>2159</v>
      </c>
      <c r="H37" s="716">
        <f>ROUND(2159*Belarus*(1-I61),2)</f>
        <v>2159</v>
      </c>
      <c r="I37" s="716">
        <f>ROUND(2159*Belarus*(1-I61),2)</f>
        <v>2159</v>
      </c>
      <c r="J37" s="716">
        <f>ROUND(2191*Belarus*(1-I61),2)</f>
        <v>2191</v>
      </c>
      <c r="K37" s="164"/>
      <c r="L37" s="1409" t="s">
        <v>1083</v>
      </c>
      <c r="M37" s="1411"/>
      <c r="N37" s="279" t="s">
        <v>3679</v>
      </c>
      <c r="O37" s="287"/>
      <c r="P37" s="101" t="s">
        <v>640</v>
      </c>
      <c r="Q37" s="715">
        <f>ROUND(185*Belarus*(1-I61),2)</f>
        <v>185</v>
      </c>
      <c r="R37" s="715">
        <f>ROUND(188*Belarus*(1-I61),2)</f>
        <v>188</v>
      </c>
      <c r="S37" s="715">
        <f>ROUND(188*Belarus*(1-I61),2)</f>
        <v>188</v>
      </c>
      <c r="T37" s="715">
        <f>ROUND(188*Belarus*(1-I61),2)</f>
        <v>188</v>
      </c>
      <c r="U37" s="715">
        <f>ROUND(191*Belarus*(1-I61),2)</f>
        <v>191</v>
      </c>
    </row>
    <row r="38" spans="1:21" s="96" customFormat="1" ht="38.25" customHeight="1">
      <c r="A38" s="1351" t="s">
        <v>1106</v>
      </c>
      <c r="B38" s="1351"/>
      <c r="C38" s="175" t="s">
        <v>1107</v>
      </c>
      <c r="D38" s="175" t="s">
        <v>1093</v>
      </c>
      <c r="E38" s="717" t="s">
        <v>640</v>
      </c>
      <c r="F38" s="716">
        <f>ROUND(1380*Belarus*(1-I61),2)</f>
        <v>1380</v>
      </c>
      <c r="G38" s="716">
        <f>ROUND(1401*Belarus*(1-I61),2)</f>
        <v>1401</v>
      </c>
      <c r="H38" s="716">
        <f>ROUND(1401*Belarus*(1-I61),2)</f>
        <v>1401</v>
      </c>
      <c r="I38" s="716">
        <f>ROUND(1401*Belarus*(1-I61),2)</f>
        <v>1401</v>
      </c>
      <c r="J38" s="716">
        <f>ROUND(1421*Belarus*(1-I61),2)</f>
        <v>1421</v>
      </c>
      <c r="K38" s="164"/>
      <c r="L38" s="1351" t="s">
        <v>3680</v>
      </c>
      <c r="M38" s="1351"/>
      <c r="N38" s="372" t="s">
        <v>1084</v>
      </c>
      <c r="O38" s="287"/>
      <c r="P38" s="101" t="s">
        <v>640</v>
      </c>
      <c r="Q38" s="1795">
        <f>ROUND(2250*Belarus*(1-N61),2)</f>
        <v>2250</v>
      </c>
      <c r="R38" s="1878"/>
      <c r="S38" s="1878"/>
      <c r="T38" s="1878"/>
      <c r="U38" s="1796"/>
    </row>
    <row r="39" spans="1:21" s="96" customFormat="1" ht="30.75" customHeight="1">
      <c r="A39" s="1351" t="s">
        <v>1109</v>
      </c>
      <c r="B39" s="1351"/>
      <c r="C39" s="175" t="s">
        <v>1110</v>
      </c>
      <c r="D39" s="175" t="s">
        <v>1093</v>
      </c>
      <c r="E39" s="717" t="s">
        <v>640</v>
      </c>
      <c r="F39" s="716">
        <f>ROUND(2070*Belarus*(1-I61),2)</f>
        <v>2070</v>
      </c>
      <c r="G39" s="716">
        <f>ROUND(2101*Belarus*(1-I61),2)</f>
        <v>2101</v>
      </c>
      <c r="H39" s="716">
        <f>ROUND(2101*Belarus*(1-I61),2)</f>
        <v>2101</v>
      </c>
      <c r="I39" s="716">
        <f>ROUND(2101*Belarus*(1-I61),2)</f>
        <v>2101</v>
      </c>
      <c r="J39" s="716">
        <f>ROUND(2132*Belarus*(1-I61),2)</f>
        <v>2132</v>
      </c>
      <c r="K39" s="164"/>
      <c r="L39" s="1351" t="s">
        <v>1085</v>
      </c>
      <c r="M39" s="1351"/>
      <c r="N39" s="372" t="s">
        <v>1084</v>
      </c>
      <c r="O39" s="287"/>
      <c r="P39" s="101" t="s">
        <v>640</v>
      </c>
      <c r="Q39" s="1795">
        <f>ROUND(3800*Belarus*(1-N61),2)</f>
        <v>3800</v>
      </c>
      <c r="R39" s="1878"/>
      <c r="S39" s="1878"/>
      <c r="T39" s="1878"/>
      <c r="U39" s="1796"/>
    </row>
    <row r="40" spans="1:21" s="96" customFormat="1" ht="40.5" customHeight="1">
      <c r="A40" s="1351" t="s">
        <v>1111</v>
      </c>
      <c r="B40" s="1351"/>
      <c r="C40" s="175" t="s">
        <v>3681</v>
      </c>
      <c r="D40" s="175" t="s">
        <v>1093</v>
      </c>
      <c r="E40" s="717" t="s">
        <v>640</v>
      </c>
      <c r="F40" s="716">
        <f>ROUND(1207.5*Belarus*(1-I61),2)</f>
        <v>1207.5</v>
      </c>
      <c r="G40" s="716">
        <f>ROUND(1226*Belarus*(1-I61),2)</f>
        <v>1226</v>
      </c>
      <c r="H40" s="716">
        <f>ROUND(1226*Belarus*(1-I61),2)</f>
        <v>1226</v>
      </c>
      <c r="I40" s="716">
        <f>ROUND(1226*Belarus*(1-I61),2)</f>
        <v>1226</v>
      </c>
      <c r="J40" s="716">
        <f>ROUND(1244*Belarus*(1-I61),2)</f>
        <v>1244</v>
      </c>
      <c r="L40" s="1351" t="s">
        <v>1086</v>
      </c>
      <c r="M40" s="1351"/>
      <c r="N40" s="372" t="s">
        <v>1084</v>
      </c>
      <c r="O40" s="279"/>
      <c r="P40" s="288" t="s">
        <v>640</v>
      </c>
      <c r="Q40" s="1795">
        <f>ROUND(1390*Belarus*(1-N61),2)</f>
        <v>1390</v>
      </c>
      <c r="R40" s="1878"/>
      <c r="S40" s="1878"/>
      <c r="T40" s="1878"/>
      <c r="U40" s="1796"/>
    </row>
    <row r="41" spans="1:21" s="96" customFormat="1" ht="42.75" customHeight="1">
      <c r="A41" s="1351" t="s">
        <v>1112</v>
      </c>
      <c r="B41" s="1351"/>
      <c r="C41" s="279" t="s">
        <v>1113</v>
      </c>
      <c r="D41" s="122" t="s">
        <v>1093</v>
      </c>
      <c r="E41" s="708" t="s">
        <v>640</v>
      </c>
      <c r="F41" s="716">
        <f>ROUND(1714.65*Belarus*(1-I61),2)</f>
        <v>1714.65</v>
      </c>
      <c r="G41" s="716">
        <f>ROUND(1740*Belarus*(1-I61),2)</f>
        <v>1740</v>
      </c>
      <c r="H41" s="716">
        <f>ROUND(1740*Belarus*(1-I61),2)</f>
        <v>1740</v>
      </c>
      <c r="I41" s="716">
        <f>ROUND(1740*Belarus*(1-I61),2)</f>
        <v>1740</v>
      </c>
      <c r="J41" s="716">
        <f>ROUND(1766*Belarus*(1-I61),2)</f>
        <v>1766</v>
      </c>
      <c r="K41" s="164"/>
      <c r="L41" s="1351" t="s">
        <v>4100</v>
      </c>
      <c r="M41" s="1351"/>
      <c r="N41" s="372" t="s">
        <v>1084</v>
      </c>
      <c r="O41" s="279"/>
      <c r="P41" s="288" t="s">
        <v>640</v>
      </c>
      <c r="Q41" s="1795">
        <f>ROUND(3600*Belarus*(1-N61),2)</f>
        <v>3600</v>
      </c>
      <c r="R41" s="1879"/>
      <c r="S41" s="1879"/>
      <c r="T41" s="1879"/>
      <c r="U41" s="1880"/>
    </row>
    <row r="42" spans="1:21" s="96" customFormat="1" ht="40.5" customHeight="1">
      <c r="A42" s="1351" t="s">
        <v>1114</v>
      </c>
      <c r="B42" s="1351"/>
      <c r="C42" s="279" t="s">
        <v>1115</v>
      </c>
      <c r="D42" s="122" t="s">
        <v>1093</v>
      </c>
      <c r="E42" s="101" t="s">
        <v>640</v>
      </c>
      <c r="F42" s="716">
        <f>ROUND(1104*Belarus*(1-I61),2)</f>
        <v>1104</v>
      </c>
      <c r="G42" s="716">
        <f>ROUND(1121*Belarus*(1-I61),2)</f>
        <v>1121</v>
      </c>
      <c r="H42" s="716">
        <f>ROUND(1121*Belarus*(1-I61),2)</f>
        <v>1121</v>
      </c>
      <c r="I42" s="716">
        <f>ROUND(1121*Belarus*(1-I61),2)</f>
        <v>1121</v>
      </c>
      <c r="J42" s="716">
        <f>ROUND(1137*Belarus*(1-I61),2)</f>
        <v>1137</v>
      </c>
      <c r="L42" s="1351" t="s">
        <v>4230</v>
      </c>
      <c r="M42" s="1351"/>
      <c r="N42" s="372" t="s">
        <v>1358</v>
      </c>
      <c r="O42" s="279"/>
      <c r="P42" s="288" t="s">
        <v>640</v>
      </c>
      <c r="Q42" s="1675">
        <f>ROUND(2600*Belarus*(1-N61),2)</f>
        <v>2600</v>
      </c>
      <c r="R42" s="1675"/>
      <c r="S42" s="1675"/>
      <c r="T42" s="1675"/>
      <c r="U42" s="1675"/>
    </row>
    <row r="43" spans="1:21" s="96" customFormat="1" ht="16.5" customHeight="1">
      <c r="A43" s="1580" t="s">
        <v>1098</v>
      </c>
      <c r="B43" s="1580"/>
      <c r="C43" s="1580"/>
      <c r="D43" s="1580"/>
      <c r="E43" s="1580"/>
      <c r="F43" s="1580"/>
      <c r="G43" s="1580"/>
      <c r="H43" s="1580"/>
      <c r="I43" s="1580"/>
      <c r="J43" s="1580"/>
      <c r="K43" s="164"/>
      <c r="L43" s="1111"/>
      <c r="M43" s="1111"/>
      <c r="N43" s="1111"/>
      <c r="O43" s="1111"/>
      <c r="P43" s="1111"/>
      <c r="Q43" s="1111"/>
      <c r="R43" s="1111"/>
      <c r="S43" s="1111"/>
      <c r="T43" s="1111"/>
      <c r="U43" s="1111"/>
    </row>
    <row r="44" spans="1:21" s="96" customFormat="1" ht="20.25" customHeight="1">
      <c r="A44" s="1409" t="s">
        <v>6925</v>
      </c>
      <c r="B44" s="1411"/>
      <c r="C44" s="1418" t="s">
        <v>1099</v>
      </c>
      <c r="D44" s="1420"/>
      <c r="E44" s="1881" t="s">
        <v>640</v>
      </c>
      <c r="F44" s="1675">
        <f>ROUND(7630*Belarus*(1-$K$61),2)</f>
        <v>7630</v>
      </c>
      <c r="G44" s="1675"/>
      <c r="H44" s="1675"/>
      <c r="I44" s="1675"/>
      <c r="J44" s="1675"/>
      <c r="K44" s="164"/>
      <c r="L44" s="164"/>
      <c r="M44" s="164"/>
      <c r="N44" s="164"/>
      <c r="O44" s="164"/>
      <c r="P44" s="164"/>
      <c r="Q44" s="164"/>
      <c r="R44" s="164"/>
      <c r="S44" s="164"/>
      <c r="T44" s="164"/>
      <c r="U44" s="164"/>
    </row>
    <row r="45" spans="1:21" s="96" customFormat="1" ht="20.25" customHeight="1">
      <c r="A45" s="1409" t="s">
        <v>1100</v>
      </c>
      <c r="B45" s="1411"/>
      <c r="C45" s="1424"/>
      <c r="D45" s="1426"/>
      <c r="E45" s="1881"/>
      <c r="F45" s="1675">
        <f>ROUND(9700*Belarus*(1-$K$61),2)</f>
        <v>9700</v>
      </c>
      <c r="G45" s="1675"/>
      <c r="H45" s="1675"/>
      <c r="I45" s="1675"/>
      <c r="J45" s="1675"/>
      <c r="K45" s="164"/>
      <c r="L45" s="164"/>
      <c r="M45" s="164"/>
      <c r="N45" s="164"/>
      <c r="O45" s="164"/>
      <c r="P45" s="164"/>
      <c r="Q45" s="164"/>
      <c r="R45" s="164"/>
      <c r="S45" s="164"/>
      <c r="T45" s="164"/>
      <c r="U45" s="164"/>
    </row>
    <row r="46" spans="1:21" s="96" customFormat="1" ht="20.25" customHeight="1">
      <c r="A46" s="1351" t="s">
        <v>794</v>
      </c>
      <c r="B46" s="1351"/>
      <c r="C46" s="1351" t="s">
        <v>1103</v>
      </c>
      <c r="D46" s="1351"/>
      <c r="E46" s="1882" t="s">
        <v>640</v>
      </c>
      <c r="F46" s="1803">
        <f>ROUND(4290*Belarus*(1-$K$61),2)</f>
        <v>4290</v>
      </c>
      <c r="G46" s="1884"/>
      <c r="H46" s="1884"/>
      <c r="I46" s="1884"/>
      <c r="J46" s="1804"/>
      <c r="K46" s="164"/>
      <c r="L46" s="164"/>
      <c r="M46" s="164"/>
      <c r="N46" s="164"/>
      <c r="O46" s="164"/>
      <c r="P46" s="164"/>
      <c r="Q46" s="164"/>
      <c r="R46" s="164"/>
      <c r="S46" s="164"/>
      <c r="T46" s="164"/>
      <c r="U46" s="164"/>
    </row>
    <row r="47" spans="1:21" s="96" customFormat="1" ht="20.25" customHeight="1">
      <c r="A47" s="1351"/>
      <c r="B47" s="1351"/>
      <c r="C47" s="1351"/>
      <c r="D47" s="1351"/>
      <c r="E47" s="1883"/>
      <c r="F47" s="1805"/>
      <c r="G47" s="1885"/>
      <c r="H47" s="1885"/>
      <c r="I47" s="1885"/>
      <c r="J47" s="1806"/>
      <c r="K47" s="164"/>
      <c r="L47" s="164"/>
      <c r="M47" s="164"/>
      <c r="N47" s="164"/>
      <c r="O47" s="164"/>
      <c r="P47" s="164"/>
      <c r="Q47" s="164"/>
      <c r="R47" s="164"/>
      <c r="S47" s="164"/>
      <c r="T47" s="164"/>
      <c r="U47" s="164"/>
    </row>
    <row r="48" spans="1:21" s="96" customFormat="1" ht="28.5" customHeight="1">
      <c r="A48" s="1351" t="s">
        <v>1104</v>
      </c>
      <c r="B48" s="1351"/>
      <c r="C48" s="1351" t="s">
        <v>1105</v>
      </c>
      <c r="D48" s="1351"/>
      <c r="E48" s="284" t="s">
        <v>640</v>
      </c>
      <c r="F48" s="1675">
        <f>ROUND(2468*Belarus*(1-$K$61),2)</f>
        <v>2468</v>
      </c>
      <c r="G48" s="1675"/>
      <c r="H48" s="1675"/>
      <c r="I48" s="1675"/>
      <c r="J48" s="1675"/>
      <c r="L48" s="164"/>
      <c r="M48" s="164"/>
      <c r="N48" s="164"/>
      <c r="O48" s="164"/>
      <c r="P48" s="164"/>
      <c r="Q48" s="164"/>
      <c r="R48" s="164"/>
      <c r="S48" s="164"/>
      <c r="T48" s="164"/>
      <c r="U48" s="164"/>
    </row>
    <row r="49" spans="1:18" s="96" customFormat="1">
      <c r="A49" s="191"/>
      <c r="B49" s="191"/>
      <c r="C49" s="191"/>
      <c r="D49" s="191"/>
      <c r="E49" s="191"/>
      <c r="J49" s="191"/>
      <c r="K49" s="164"/>
      <c r="L49" s="164"/>
      <c r="M49" s="125"/>
      <c r="N49" s="125"/>
      <c r="O49" s="125"/>
      <c r="Q49" s="125"/>
      <c r="R49" s="125"/>
    </row>
    <row r="50" spans="1:18">
      <c r="A50" s="1434" t="s">
        <v>420</v>
      </c>
      <c r="B50" s="1435"/>
      <c r="C50" s="1435"/>
      <c r="D50" s="1435"/>
      <c r="E50" s="1435"/>
      <c r="F50" s="1435"/>
      <c r="G50" s="1435"/>
      <c r="H50" s="1435"/>
      <c r="I50" s="1435"/>
      <c r="J50" s="1436"/>
      <c r="L50" s="1657" t="s">
        <v>1116</v>
      </c>
      <c r="M50" s="1680"/>
      <c r="N50" s="1292" t="s">
        <v>3682</v>
      </c>
      <c r="O50" s="1292"/>
      <c r="P50" s="1292"/>
      <c r="Q50" s="1292"/>
    </row>
    <row r="51" spans="1:18" s="52" customFormat="1">
      <c r="A51" s="1356" t="s">
        <v>3683</v>
      </c>
      <c r="B51" s="1357"/>
      <c r="C51" s="1357"/>
      <c r="D51" s="1357"/>
      <c r="E51" s="1357"/>
      <c r="F51" s="1357"/>
      <c r="G51" s="1357"/>
      <c r="H51" s="1357"/>
      <c r="I51" s="1357"/>
      <c r="J51" s="1358"/>
      <c r="L51" s="1682"/>
      <c r="M51" s="1683"/>
      <c r="N51" s="89" t="s">
        <v>1117</v>
      </c>
      <c r="O51" s="1292" t="s">
        <v>1118</v>
      </c>
      <c r="P51" s="1292"/>
      <c r="Q51" s="1292"/>
    </row>
    <row r="52" spans="1:18" s="52" customFormat="1" ht="15" customHeight="1">
      <c r="A52" s="1365" t="s">
        <v>3684</v>
      </c>
      <c r="B52" s="1366"/>
      <c r="C52" s="1366"/>
      <c r="D52" s="1366"/>
      <c r="E52" s="1366"/>
      <c r="F52" s="1366"/>
      <c r="G52" s="1366"/>
      <c r="H52" s="1366"/>
      <c r="I52" s="1366"/>
      <c r="J52" s="1367"/>
      <c r="L52" s="1755" t="s">
        <v>1119</v>
      </c>
      <c r="M52" s="1756"/>
      <c r="N52" s="103" t="s">
        <v>1120</v>
      </c>
      <c r="O52" s="1530" t="s">
        <v>1121</v>
      </c>
      <c r="P52" s="1530"/>
      <c r="Q52" s="1530"/>
    </row>
    <row r="53" spans="1:18">
      <c r="A53" s="1356" t="s">
        <v>3685</v>
      </c>
      <c r="B53" s="1357"/>
      <c r="C53" s="1357"/>
      <c r="D53" s="1357"/>
      <c r="E53" s="1357"/>
      <c r="F53" s="1357"/>
      <c r="G53" s="1357"/>
      <c r="H53" s="1357"/>
      <c r="I53" s="1357"/>
      <c r="J53" s="1358"/>
      <c r="L53" s="1886" t="s">
        <v>1122</v>
      </c>
      <c r="M53" s="1887"/>
      <c r="N53" s="43" t="s">
        <v>1123</v>
      </c>
      <c r="O53" s="1530" t="s">
        <v>1121</v>
      </c>
      <c r="P53" s="1530"/>
      <c r="Q53" s="1530"/>
    </row>
    <row r="54" spans="1:18" ht="25.5" customHeight="1">
      <c r="A54" s="1356" t="s">
        <v>3686</v>
      </c>
      <c r="B54" s="1357"/>
      <c r="C54" s="1357"/>
      <c r="D54" s="1357"/>
      <c r="E54" s="1357"/>
      <c r="F54" s="1357"/>
      <c r="G54" s="1357"/>
      <c r="H54" s="1357"/>
      <c r="I54" s="1357"/>
      <c r="J54" s="1358"/>
      <c r="L54" s="1886" t="s">
        <v>1125</v>
      </c>
      <c r="M54" s="1887"/>
      <c r="N54" s="43" t="s">
        <v>1126</v>
      </c>
      <c r="O54" s="1530" t="s">
        <v>1121</v>
      </c>
      <c r="P54" s="1530"/>
      <c r="Q54" s="1530"/>
    </row>
    <row r="55" spans="1:18">
      <c r="A55" s="1356" t="s">
        <v>1124</v>
      </c>
      <c r="B55" s="1357"/>
      <c r="C55" s="1357"/>
      <c r="D55" s="1357"/>
      <c r="E55" s="1357"/>
      <c r="F55" s="1357"/>
      <c r="G55" s="1357"/>
      <c r="H55" s="1357"/>
      <c r="I55" s="1357"/>
      <c r="J55" s="1358"/>
      <c r="L55" s="1281" t="s">
        <v>1128</v>
      </c>
      <c r="M55" s="1281"/>
      <c r="N55" s="43" t="s">
        <v>1129</v>
      </c>
      <c r="O55" s="1530" t="s">
        <v>1121</v>
      </c>
      <c r="P55" s="1530"/>
      <c r="Q55" s="1530"/>
    </row>
    <row r="56" spans="1:18">
      <c r="A56" s="96"/>
      <c r="B56" s="138"/>
      <c r="C56" s="138"/>
      <c r="D56" s="138"/>
      <c r="E56" s="138"/>
      <c r="F56" s="138"/>
      <c r="G56" s="138"/>
      <c r="H56" s="138"/>
      <c r="I56" s="96"/>
      <c r="J56" s="96"/>
    </row>
    <row r="57" spans="1:18">
      <c r="A57" s="138"/>
      <c r="B57" s="138"/>
      <c r="C57" s="138"/>
      <c r="D57" s="138"/>
      <c r="E57" s="138"/>
      <c r="F57" s="138"/>
      <c r="G57" s="138"/>
      <c r="H57" s="138"/>
      <c r="I57" s="96"/>
      <c r="J57" s="96"/>
    </row>
    <row r="60" spans="1:18" ht="46.5" customHeight="1">
      <c r="A60" s="1888" t="s">
        <v>508</v>
      </c>
      <c r="B60" s="186" t="s">
        <v>3687</v>
      </c>
      <c r="C60" s="186" t="s">
        <v>3688</v>
      </c>
      <c r="D60" s="186" t="s">
        <v>3689</v>
      </c>
      <c r="E60" s="1342" t="s">
        <v>3690</v>
      </c>
      <c r="F60" s="1343"/>
      <c r="G60" s="1342" t="s">
        <v>3691</v>
      </c>
      <c r="H60" s="1343"/>
      <c r="I60" s="1342" t="s">
        <v>1130</v>
      </c>
      <c r="J60" s="1343"/>
      <c r="K60" s="1342" t="s">
        <v>152</v>
      </c>
      <c r="L60" s="1343"/>
      <c r="M60" s="141" t="s">
        <v>30</v>
      </c>
      <c r="N60" s="141" t="s">
        <v>1131</v>
      </c>
    </row>
    <row r="61" spans="1:18">
      <c r="A61" s="1889"/>
      <c r="B61" s="148">
        <v>0</v>
      </c>
      <c r="C61" s="148">
        <v>0</v>
      </c>
      <c r="D61" s="148">
        <v>0</v>
      </c>
      <c r="E61" s="1661">
        <v>0</v>
      </c>
      <c r="F61" s="1662"/>
      <c r="G61" s="1661">
        <v>0</v>
      </c>
      <c r="H61" s="1662"/>
      <c r="I61" s="1661">
        <v>0</v>
      </c>
      <c r="J61" s="1662"/>
      <c r="K61" s="1661">
        <v>0</v>
      </c>
      <c r="L61" s="1662"/>
      <c r="M61" s="129">
        <v>0</v>
      </c>
      <c r="N61" s="129">
        <v>0</v>
      </c>
    </row>
  </sheetData>
  <mergeCells count="179">
    <mergeCell ref="A55:J55"/>
    <mergeCell ref="L55:M55"/>
    <mergeCell ref="O55:Q55"/>
    <mergeCell ref="A60:A61"/>
    <mergeCell ref="E60:F60"/>
    <mergeCell ref="G60:H60"/>
    <mergeCell ref="I60:J60"/>
    <mergeCell ref="K60:L60"/>
    <mergeCell ref="E61:F61"/>
    <mergeCell ref="G61:H61"/>
    <mergeCell ref="A53:J53"/>
    <mergeCell ref="L53:M53"/>
    <mergeCell ref="O53:Q53"/>
    <mergeCell ref="A54:J54"/>
    <mergeCell ref="L54:M54"/>
    <mergeCell ref="O54:Q54"/>
    <mergeCell ref="I61:J61"/>
    <mergeCell ref="K61:L61"/>
    <mergeCell ref="A50:J50"/>
    <mergeCell ref="L50:M51"/>
    <mergeCell ref="N50:Q50"/>
    <mergeCell ref="A51:J51"/>
    <mergeCell ref="O51:Q51"/>
    <mergeCell ref="A52:J52"/>
    <mergeCell ref="L52:M52"/>
    <mergeCell ref="O52:Q52"/>
    <mergeCell ref="A46:B47"/>
    <mergeCell ref="C46:D47"/>
    <mergeCell ref="E46:E47"/>
    <mergeCell ref="F46:J47"/>
    <mergeCell ref="A48:B48"/>
    <mergeCell ref="C48:D48"/>
    <mergeCell ref="F48:J48"/>
    <mergeCell ref="A42:B42"/>
    <mergeCell ref="L42:M42"/>
    <mergeCell ref="Q42:U42"/>
    <mergeCell ref="A43:J43"/>
    <mergeCell ref="A44:B44"/>
    <mergeCell ref="C44:D45"/>
    <mergeCell ref="E44:E45"/>
    <mergeCell ref="F44:J44"/>
    <mergeCell ref="A45:B45"/>
    <mergeCell ref="F45:J45"/>
    <mergeCell ref="A40:B40"/>
    <mergeCell ref="L40:M40"/>
    <mergeCell ref="Q40:U40"/>
    <mergeCell ref="A41:B41"/>
    <mergeCell ref="L41:M41"/>
    <mergeCell ref="Q41:U41"/>
    <mergeCell ref="A38:B38"/>
    <mergeCell ref="L38:M38"/>
    <mergeCell ref="Q38:U38"/>
    <mergeCell ref="A39:B39"/>
    <mergeCell ref="L39:M39"/>
    <mergeCell ref="Q39:U39"/>
    <mergeCell ref="U34:U35"/>
    <mergeCell ref="A35:B35"/>
    <mergeCell ref="A36:B36"/>
    <mergeCell ref="F36:J36"/>
    <mergeCell ref="L36:M36"/>
    <mergeCell ref="A37:B37"/>
    <mergeCell ref="L37:M37"/>
    <mergeCell ref="O34:O35"/>
    <mergeCell ref="P34:P35"/>
    <mergeCell ref="Q34:Q35"/>
    <mergeCell ref="R34:R35"/>
    <mergeCell ref="S34:S35"/>
    <mergeCell ref="T34:T35"/>
    <mergeCell ref="A33:B33"/>
    <mergeCell ref="L33:M33"/>
    <mergeCell ref="N33:N35"/>
    <mergeCell ref="A34:B34"/>
    <mergeCell ref="C34:C35"/>
    <mergeCell ref="L34:M35"/>
    <mergeCell ref="M30:M31"/>
    <mergeCell ref="N30:N31"/>
    <mergeCell ref="O30:O31"/>
    <mergeCell ref="P30:P31"/>
    <mergeCell ref="Q30:U30"/>
    <mergeCell ref="A32:J32"/>
    <mergeCell ref="L32:U32"/>
    <mergeCell ref="T25:T26"/>
    <mergeCell ref="U25:U26"/>
    <mergeCell ref="C27:C28"/>
    <mergeCell ref="A30:A31"/>
    <mergeCell ref="B30:B31"/>
    <mergeCell ref="C30:C31"/>
    <mergeCell ref="D30:D31"/>
    <mergeCell ref="E30:E31"/>
    <mergeCell ref="F30:J30"/>
    <mergeCell ref="L30:L31"/>
    <mergeCell ref="T23:T24"/>
    <mergeCell ref="U23:U24"/>
    <mergeCell ref="A25:A28"/>
    <mergeCell ref="B25:B28"/>
    <mergeCell ref="C25:C26"/>
    <mergeCell ref="D25:D28"/>
    <mergeCell ref="P25:P26"/>
    <mergeCell ref="Q25:Q26"/>
    <mergeCell ref="R25:R26"/>
    <mergeCell ref="S25:S26"/>
    <mergeCell ref="R21:R22"/>
    <mergeCell ref="S21:S22"/>
    <mergeCell ref="T21:T22"/>
    <mergeCell ref="U21:U22"/>
    <mergeCell ref="C23:C24"/>
    <mergeCell ref="N23:N26"/>
    <mergeCell ref="P23:P24"/>
    <mergeCell ref="Q23:Q24"/>
    <mergeCell ref="R23:R24"/>
    <mergeCell ref="S23:S24"/>
    <mergeCell ref="R19:R20"/>
    <mergeCell ref="S19:S20"/>
    <mergeCell ref="T19:T20"/>
    <mergeCell ref="U19:U20"/>
    <mergeCell ref="A21:A24"/>
    <mergeCell ref="B21:B24"/>
    <mergeCell ref="C21:C22"/>
    <mergeCell ref="D21:D24"/>
    <mergeCell ref="P21:P22"/>
    <mergeCell ref="Q21:Q22"/>
    <mergeCell ref="U14:U17"/>
    <mergeCell ref="C15:C16"/>
    <mergeCell ref="C17:C18"/>
    <mergeCell ref="C19:C20"/>
    <mergeCell ref="L19:L26"/>
    <mergeCell ref="M19:M26"/>
    <mergeCell ref="N19:N22"/>
    <mergeCell ref="O19:O26"/>
    <mergeCell ref="P19:P20"/>
    <mergeCell ref="Q19:Q20"/>
    <mergeCell ref="A13:A20"/>
    <mergeCell ref="B13:B20"/>
    <mergeCell ref="C13:C14"/>
    <mergeCell ref="D13:D20"/>
    <mergeCell ref="N14:N18"/>
    <mergeCell ref="P14:P17"/>
    <mergeCell ref="U9:U10"/>
    <mergeCell ref="C11:C12"/>
    <mergeCell ref="L12:L18"/>
    <mergeCell ref="M12:M18"/>
    <mergeCell ref="N12:N13"/>
    <mergeCell ref="O12:O18"/>
    <mergeCell ref="Q14:Q17"/>
    <mergeCell ref="R14:R17"/>
    <mergeCell ref="S14:S17"/>
    <mergeCell ref="T14:T17"/>
    <mergeCell ref="N9:N11"/>
    <mergeCell ref="P9:P10"/>
    <mergeCell ref="Q9:Q10"/>
    <mergeCell ref="R9:R10"/>
    <mergeCell ref="S9:S10"/>
    <mergeCell ref="T9:T10"/>
    <mergeCell ref="A6:U6"/>
    <mergeCell ref="A7:A12"/>
    <mergeCell ref="B7:B12"/>
    <mergeCell ref="C7:C8"/>
    <mergeCell ref="D7:D12"/>
    <mergeCell ref="L7:L11"/>
    <mergeCell ref="M7:M11"/>
    <mergeCell ref="N7:N8"/>
    <mergeCell ref="O7:O11"/>
    <mergeCell ref="C9:C10"/>
    <mergeCell ref="L4:L5"/>
    <mergeCell ref="M4:M5"/>
    <mergeCell ref="N4:N5"/>
    <mergeCell ref="O4:O5"/>
    <mergeCell ref="P4:P5"/>
    <mergeCell ref="Q4:U4"/>
    <mergeCell ref="A1:E1"/>
    <mergeCell ref="A2:P2"/>
    <mergeCell ref="T2:U2"/>
    <mergeCell ref="T3:U3"/>
    <mergeCell ref="A4:A5"/>
    <mergeCell ref="B4:B5"/>
    <mergeCell ref="C4:C5"/>
    <mergeCell ref="D4:D5"/>
    <mergeCell ref="E4:E5"/>
    <mergeCell ref="F4:J4"/>
  </mergeCells>
  <hyperlinks>
    <hyperlink ref="A1" location="Содержание прайса!A1" display="Вернуться в начало"/>
    <hyperlink ref="A1:E1" location="'Содержание прайса'!A1" display="Вернуться в начало"/>
  </hyperlinks>
  <printOptions horizontalCentered="1"/>
  <pageMargins left="0" right="0" top="0.47244094488188981" bottom="0" header="0" footer="0"/>
  <pageSetup paperSize="9" scale="48" orientation="landscape" horizontalDpi="300" verticalDpi="300" r:id="rId1"/>
  <headerFooter scaleWithDoc="0">
    <oddHeader xml:space="preserve">&amp;L&amp;G&amp;R&amp;5Центр поддержки клиентов Grand Line: +7 (495) 748-38-38
cайт: www.grandline.ru   </oddHeader>
    <oddFooter>&amp;R&amp;5Страница 10</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T74"/>
  <sheetViews>
    <sheetView zoomScale="70" zoomScaleNormal="70" zoomScaleSheetLayoutView="40" workbookViewId="0">
      <selection activeCell="A2" sqref="A2:P2"/>
    </sheetView>
  </sheetViews>
  <sheetFormatPr defaultRowHeight="12.75"/>
  <cols>
    <col min="1" max="1" width="17.7109375" style="52" customWidth="1"/>
    <col min="2" max="2" width="46.42578125" style="289" customWidth="1"/>
    <col min="3" max="3" width="15.140625" style="24" customWidth="1"/>
    <col min="4" max="4" width="5" style="52" customWidth="1"/>
    <col min="5" max="9" width="11.5703125" style="52" customWidth="1"/>
    <col min="10" max="10" width="2.42578125" style="52" customWidth="1"/>
    <col min="11" max="11" width="17.7109375" style="52" customWidth="1"/>
    <col min="12" max="12" width="46.42578125" style="52" customWidth="1"/>
    <col min="13" max="13" width="15.140625" style="52" customWidth="1"/>
    <col min="14" max="14" width="5" style="24" customWidth="1"/>
    <col min="15" max="17" width="11.5703125" style="24" customWidth="1"/>
    <col min="18" max="19" width="11.5703125" style="52" customWidth="1"/>
    <col min="20" max="16384" width="9.140625" style="52"/>
  </cols>
  <sheetData>
    <row r="1" spans="1:19">
      <c r="A1" s="1890" t="s">
        <v>312</v>
      </c>
      <c r="B1" s="1890"/>
      <c r="C1" s="1890"/>
      <c r="D1" s="55"/>
      <c r="E1" s="55"/>
      <c r="F1" s="55"/>
      <c r="G1" s="55"/>
      <c r="H1" s="55"/>
      <c r="I1" s="55"/>
      <c r="J1" s="55"/>
      <c r="K1" s="55"/>
      <c r="L1" s="289"/>
      <c r="M1" s="289"/>
    </row>
    <row r="2" spans="1:19" ht="18.75" thickBot="1">
      <c r="A2" s="1851" t="s">
        <v>95</v>
      </c>
      <c r="B2" s="1851"/>
      <c r="C2" s="1851"/>
      <c r="D2" s="1851"/>
      <c r="E2" s="1851"/>
      <c r="F2" s="1851"/>
      <c r="G2" s="1851"/>
      <c r="H2" s="1851"/>
      <c r="I2" s="1851"/>
      <c r="J2" s="1851"/>
      <c r="K2" s="1851"/>
      <c r="L2" s="1851"/>
      <c r="M2" s="1851"/>
      <c r="N2" s="1851"/>
      <c r="O2" s="1851"/>
      <c r="P2" s="741"/>
      <c r="Q2" s="745"/>
      <c r="R2" s="734" t="s">
        <v>313</v>
      </c>
      <c r="S2" s="742">
        <v>43304</v>
      </c>
    </row>
    <row r="3" spans="1:19">
      <c r="A3" s="400"/>
      <c r="B3" s="164"/>
      <c r="C3" s="191"/>
      <c r="D3" s="164"/>
      <c r="E3" s="164"/>
      <c r="F3" s="164"/>
      <c r="G3" s="164"/>
      <c r="H3" s="164"/>
      <c r="I3" s="164"/>
      <c r="K3" s="400"/>
      <c r="L3" s="164"/>
      <c r="M3" s="164"/>
      <c r="R3" s="713" t="s">
        <v>315</v>
      </c>
      <c r="S3" s="290">
        <v>43238</v>
      </c>
    </row>
    <row r="4" spans="1:19" s="55" customFormat="1">
      <c r="A4" s="1495" t="s">
        <v>1071</v>
      </c>
      <c r="B4" s="1495" t="s">
        <v>1132</v>
      </c>
      <c r="C4" s="1388" t="s">
        <v>1073</v>
      </c>
      <c r="D4" s="1388" t="s">
        <v>622</v>
      </c>
      <c r="E4" s="1491" t="s">
        <v>3656</v>
      </c>
      <c r="F4" s="1491"/>
      <c r="G4" s="1491"/>
      <c r="H4" s="1491"/>
      <c r="I4" s="1491"/>
      <c r="J4" s="400"/>
      <c r="K4" s="1495" t="s">
        <v>1071</v>
      </c>
      <c r="L4" s="1495" t="s">
        <v>1132</v>
      </c>
      <c r="M4" s="1495" t="s">
        <v>1073</v>
      </c>
      <c r="N4" s="1495" t="s">
        <v>622</v>
      </c>
      <c r="O4" s="1491" t="s">
        <v>3656</v>
      </c>
      <c r="P4" s="1491"/>
      <c r="Q4" s="1491"/>
      <c r="R4" s="1491"/>
      <c r="S4" s="1491"/>
    </row>
    <row r="5" spans="1:19" s="55" customFormat="1" ht="26.25" customHeight="1">
      <c r="A5" s="1470"/>
      <c r="B5" s="1470"/>
      <c r="C5" s="1388"/>
      <c r="D5" s="1388"/>
      <c r="E5" s="62" t="s">
        <v>3546</v>
      </c>
      <c r="F5" s="62" t="s">
        <v>3605</v>
      </c>
      <c r="G5" s="62" t="s">
        <v>3606</v>
      </c>
      <c r="H5" s="62" t="s">
        <v>3607</v>
      </c>
      <c r="I5" s="62" t="s">
        <v>3608</v>
      </c>
      <c r="J5" s="400"/>
      <c r="K5" s="1470"/>
      <c r="L5" s="1470"/>
      <c r="M5" s="1470"/>
      <c r="N5" s="1470"/>
      <c r="O5" s="62" t="s">
        <v>3546</v>
      </c>
      <c r="P5" s="62" t="s">
        <v>3605</v>
      </c>
      <c r="Q5" s="62" t="s">
        <v>3606</v>
      </c>
      <c r="R5" s="62" t="s">
        <v>3607</v>
      </c>
      <c r="S5" s="62" t="s">
        <v>3608</v>
      </c>
    </row>
    <row r="6" spans="1:19" s="113" customFormat="1" ht="15" customHeight="1">
      <c r="A6" s="1539" t="s">
        <v>1136</v>
      </c>
      <c r="B6" s="1539"/>
      <c r="C6" s="1539"/>
      <c r="D6" s="1539"/>
      <c r="E6" s="1539"/>
      <c r="F6" s="1539"/>
      <c r="G6" s="1539"/>
      <c r="H6" s="1539"/>
      <c r="I6" s="1539"/>
      <c r="J6" s="1539"/>
      <c r="K6" s="1539"/>
      <c r="L6" s="1539"/>
      <c r="M6" s="1539"/>
      <c r="N6" s="1539"/>
      <c r="O6" s="1539"/>
      <c r="P6" s="1539"/>
      <c r="Q6" s="1539"/>
      <c r="R6" s="1539"/>
      <c r="S6" s="1539"/>
    </row>
    <row r="7" spans="1:19" s="55" customFormat="1" ht="16.5" customHeight="1">
      <c r="A7" s="1891"/>
      <c r="B7" s="1868" t="s">
        <v>3559</v>
      </c>
      <c r="C7" s="1765" t="s">
        <v>1139</v>
      </c>
      <c r="D7" s="706" t="s">
        <v>640</v>
      </c>
      <c r="E7" s="718">
        <f>ROUND(662*Belarus*(1-B74),2)</f>
        <v>662</v>
      </c>
      <c r="F7" s="718">
        <f>ROUND(672*Belarus*(1-B74),2)</f>
        <v>672</v>
      </c>
      <c r="G7" s="718">
        <f>ROUND(672*Belarus*(1-B74),2)</f>
        <v>672</v>
      </c>
      <c r="H7" s="718">
        <f>ROUND(662*Belarus*(1-B74),2)</f>
        <v>662</v>
      </c>
      <c r="I7" s="718">
        <f>ROUND(682*Belarus*(1-B74),2)</f>
        <v>682</v>
      </c>
      <c r="K7" s="1891"/>
      <c r="L7" s="1868" t="s">
        <v>3568</v>
      </c>
      <c r="M7" s="1765" t="s">
        <v>1148</v>
      </c>
      <c r="N7" s="101" t="s">
        <v>640</v>
      </c>
      <c r="O7" s="719">
        <f>ROUND(762*Belarus*(1-B74),2)</f>
        <v>762</v>
      </c>
      <c r="P7" s="719">
        <f>ROUND(773*Belarus*(1-B74),2)</f>
        <v>773</v>
      </c>
      <c r="Q7" s="719">
        <f>ROUND(773*Belarus*(1-B74),2)</f>
        <v>773</v>
      </c>
      <c r="R7" s="719">
        <f>ROUND(762*Belarus*(1-B74),2)</f>
        <v>762</v>
      </c>
      <c r="S7" s="719">
        <f>ROUND(785*Belarus*(1-B74),2)</f>
        <v>785</v>
      </c>
    </row>
    <row r="8" spans="1:19" s="55" customFormat="1" ht="16.5" customHeight="1">
      <c r="A8" s="1892"/>
      <c r="B8" s="1869"/>
      <c r="C8" s="1455"/>
      <c r="D8" s="113" t="s">
        <v>628</v>
      </c>
      <c r="E8" s="715">
        <f>E7/0.543</f>
        <v>1219.1528545119704</v>
      </c>
      <c r="F8" s="715">
        <f>F7/0.543</f>
        <v>1237.5690607734805</v>
      </c>
      <c r="G8" s="715">
        <f>G7/0.543</f>
        <v>1237.5690607734805</v>
      </c>
      <c r="H8" s="715">
        <f>H7/0.543</f>
        <v>1219.1528545119704</v>
      </c>
      <c r="I8" s="715">
        <f>I7/0.543</f>
        <v>1255.9852670349908</v>
      </c>
      <c r="K8" s="1892"/>
      <c r="L8" s="1869"/>
      <c r="M8" s="1455"/>
      <c r="N8" s="101" t="s">
        <v>628</v>
      </c>
      <c r="O8" s="715">
        <f>O7/0.4162</f>
        <v>1830.8505526189331</v>
      </c>
      <c r="P8" s="715">
        <f>P7/0.4162</f>
        <v>1857.2801537722248</v>
      </c>
      <c r="Q8" s="715">
        <f>Q7/0.4162</f>
        <v>1857.2801537722248</v>
      </c>
      <c r="R8" s="715">
        <f>R7/0.4162</f>
        <v>1830.8505526189331</v>
      </c>
      <c r="S8" s="715">
        <f>S7/0.4162</f>
        <v>1886.1124459394521</v>
      </c>
    </row>
    <row r="9" spans="1:19" s="55" customFormat="1" ht="16.5" customHeight="1">
      <c r="A9" s="1892"/>
      <c r="B9" s="1868" t="s">
        <v>3560</v>
      </c>
      <c r="C9" s="1455"/>
      <c r="D9" s="709" t="s">
        <v>640</v>
      </c>
      <c r="E9" s="719">
        <f>ROUND(662*Belarus*(1-B74),2)</f>
        <v>662</v>
      </c>
      <c r="F9" s="719">
        <f>ROUND(672*Belarus*(1-B74),2)</f>
        <v>672</v>
      </c>
      <c r="G9" s="719">
        <f>ROUND(672*Belarus*(1-B74),2)</f>
        <v>672</v>
      </c>
      <c r="H9" s="719">
        <f>ROUND(662*Belarus*(1-B74),2)</f>
        <v>662</v>
      </c>
      <c r="I9" s="719">
        <f>ROUND(682*Belarus*(1-B74),2)</f>
        <v>682</v>
      </c>
      <c r="K9" s="1892"/>
      <c r="L9" s="1868" t="s">
        <v>3569</v>
      </c>
      <c r="M9" s="1455"/>
      <c r="N9" s="101" t="s">
        <v>640</v>
      </c>
      <c r="O9" s="719">
        <f>ROUND(762*Belarus*(1-B74),2)</f>
        <v>762</v>
      </c>
      <c r="P9" s="719">
        <f>ROUND(773*Belarus*(1-B74),2)</f>
        <v>773</v>
      </c>
      <c r="Q9" s="719">
        <f>ROUND(773*Belarus*(1-B74),2)</f>
        <v>773</v>
      </c>
      <c r="R9" s="719">
        <f>ROUND(762*Belarus*(1-B74),2)</f>
        <v>762</v>
      </c>
      <c r="S9" s="719">
        <f>ROUND(785*Belarus*(1-B74),2)</f>
        <v>785</v>
      </c>
    </row>
    <row r="10" spans="1:19" s="55" customFormat="1" ht="16.5" customHeight="1">
      <c r="A10" s="1892"/>
      <c r="B10" s="1869"/>
      <c r="C10" s="1455"/>
      <c r="D10" s="113" t="s">
        <v>628</v>
      </c>
      <c r="E10" s="715">
        <f>E9/0.543</f>
        <v>1219.1528545119704</v>
      </c>
      <c r="F10" s="715">
        <f>F9/0.543</f>
        <v>1237.5690607734805</v>
      </c>
      <c r="G10" s="715">
        <f>G9/0.543</f>
        <v>1237.5690607734805</v>
      </c>
      <c r="H10" s="715">
        <f>H9/0.543</f>
        <v>1219.1528545119704</v>
      </c>
      <c r="I10" s="715">
        <f>I9/0.543</f>
        <v>1255.9852670349908</v>
      </c>
      <c r="K10" s="1893"/>
      <c r="L10" s="1869"/>
      <c r="M10" s="1456"/>
      <c r="N10" s="101" t="s">
        <v>628</v>
      </c>
      <c r="O10" s="715">
        <f>O9/0.4162</f>
        <v>1830.8505526189331</v>
      </c>
      <c r="P10" s="715">
        <f>P9/0.4162</f>
        <v>1857.2801537722248</v>
      </c>
      <c r="Q10" s="715">
        <f>Q9/0.4162</f>
        <v>1857.2801537722248</v>
      </c>
      <c r="R10" s="715">
        <f>R9/0.4162</f>
        <v>1830.8505526189331</v>
      </c>
      <c r="S10" s="715">
        <f>S9/0.4162</f>
        <v>1886.1124459394521</v>
      </c>
    </row>
    <row r="11" spans="1:19" s="55" customFormat="1" ht="16.5" customHeight="1">
      <c r="A11" s="1892"/>
      <c r="B11" s="1868" t="s">
        <v>3561</v>
      </c>
      <c r="C11" s="1455"/>
      <c r="D11" s="709" t="s">
        <v>640</v>
      </c>
      <c r="E11" s="719">
        <f>ROUND(662*Belarus*(1-B74),2)</f>
        <v>662</v>
      </c>
      <c r="F11" s="719">
        <f>ROUND(672*Belarus*(1-B74),2)</f>
        <v>672</v>
      </c>
      <c r="G11" s="719">
        <f>ROUND(672*Belarus*(1-B74),2)</f>
        <v>672</v>
      </c>
      <c r="H11" s="719">
        <f>ROUND(662*Belarus*(1-B74),2)</f>
        <v>662</v>
      </c>
      <c r="I11" s="719">
        <f>ROUND(682*Belarus*(1-B74),2)</f>
        <v>682</v>
      </c>
      <c r="K11" s="1891"/>
      <c r="L11" s="1868" t="s">
        <v>3570</v>
      </c>
      <c r="M11" s="1765" t="s">
        <v>1153</v>
      </c>
      <c r="N11" s="101" t="s">
        <v>640</v>
      </c>
      <c r="O11" s="719">
        <f>ROUND(624*Belarus*(1-B74),2)</f>
        <v>624</v>
      </c>
      <c r="P11" s="719">
        <f>ROUND(633*Belarus*(1-B74),2)</f>
        <v>633</v>
      </c>
      <c r="Q11" s="719">
        <f>ROUND(633*Belarus*(1-B74),2)</f>
        <v>633</v>
      </c>
      <c r="R11" s="719">
        <f>ROUND(624*Belarus*(1-B74),2)</f>
        <v>624</v>
      </c>
      <c r="S11" s="719">
        <f>ROUND(643*Belarus*(1-B74),2)</f>
        <v>643</v>
      </c>
    </row>
    <row r="12" spans="1:19" s="55" customFormat="1" ht="16.5" customHeight="1">
      <c r="A12" s="1892"/>
      <c r="B12" s="1869"/>
      <c r="C12" s="1455"/>
      <c r="D12" s="113" t="s">
        <v>628</v>
      </c>
      <c r="E12" s="715">
        <f>E11/0.543</f>
        <v>1219.1528545119704</v>
      </c>
      <c r="F12" s="715">
        <f>F11/0.543</f>
        <v>1237.5690607734805</v>
      </c>
      <c r="G12" s="715">
        <f>G11/0.543</f>
        <v>1237.5690607734805</v>
      </c>
      <c r="H12" s="715">
        <f>H11/0.543</f>
        <v>1219.1528545119704</v>
      </c>
      <c r="I12" s="715">
        <f>I11/0.543</f>
        <v>1255.9852670349908</v>
      </c>
      <c r="K12" s="1892"/>
      <c r="L12" s="1869"/>
      <c r="M12" s="1455"/>
      <c r="N12" s="101" t="s">
        <v>628</v>
      </c>
      <c r="O12" s="715">
        <f>O11/0.4644</f>
        <v>1343.6692506459949</v>
      </c>
      <c r="P12" s="715">
        <f>P11/0.4644</f>
        <v>1363.0490956072351</v>
      </c>
      <c r="Q12" s="715">
        <f>Q11/0.4644</f>
        <v>1363.0490956072351</v>
      </c>
      <c r="R12" s="715">
        <f>R11/0.4644</f>
        <v>1343.6692506459949</v>
      </c>
      <c r="S12" s="715">
        <f>S11/0.4644</f>
        <v>1384.58225667528</v>
      </c>
    </row>
    <row r="13" spans="1:19" s="55" customFormat="1" ht="16.5" customHeight="1">
      <c r="A13" s="1892"/>
      <c r="B13" s="1868" t="s">
        <v>3562</v>
      </c>
      <c r="C13" s="1455"/>
      <c r="D13" s="709" t="s">
        <v>640</v>
      </c>
      <c r="E13" s="719">
        <f>ROUND(662*Belarus*(1-B74),2)</f>
        <v>662</v>
      </c>
      <c r="F13" s="719">
        <f>ROUND(672*Belarus*(1-B74),2)</f>
        <v>672</v>
      </c>
      <c r="G13" s="719">
        <f>ROUND(672*Belarus*(1-B74),2)</f>
        <v>672</v>
      </c>
      <c r="H13" s="719">
        <f>ROUND(662*Belarus*(1-B74),2)</f>
        <v>662</v>
      </c>
      <c r="I13" s="719">
        <f>ROUND(682*Belarus*(1-B74),2)</f>
        <v>682</v>
      </c>
      <c r="K13" s="1892"/>
      <c r="L13" s="1868" t="s">
        <v>3571</v>
      </c>
      <c r="M13" s="1455"/>
      <c r="N13" s="101" t="s">
        <v>640</v>
      </c>
      <c r="O13" s="719">
        <f>ROUND(624*Belarus*(1-B74),2)</f>
        <v>624</v>
      </c>
      <c r="P13" s="719">
        <f>ROUND(633*Belarus*(1-B74),2)</f>
        <v>633</v>
      </c>
      <c r="Q13" s="719">
        <f>ROUND(633*Belarus*(1-B74),2)</f>
        <v>633</v>
      </c>
      <c r="R13" s="719">
        <f>ROUND(624*Belarus*(1-B74),2)</f>
        <v>624</v>
      </c>
      <c r="S13" s="719">
        <f>ROUND(643*Belarus*(1-B74),2)</f>
        <v>643</v>
      </c>
    </row>
    <row r="14" spans="1:19" s="55" customFormat="1" ht="16.5" customHeight="1">
      <c r="A14" s="1892"/>
      <c r="B14" s="1869"/>
      <c r="C14" s="1455"/>
      <c r="D14" s="113" t="s">
        <v>628</v>
      </c>
      <c r="E14" s="715">
        <f>E13/0.543</f>
        <v>1219.1528545119704</v>
      </c>
      <c r="F14" s="715">
        <f>F13/0.543</f>
        <v>1237.5690607734805</v>
      </c>
      <c r="G14" s="715">
        <f>G13/0.543</f>
        <v>1237.5690607734805</v>
      </c>
      <c r="H14" s="715">
        <f>H13/0.543</f>
        <v>1219.1528545119704</v>
      </c>
      <c r="I14" s="715">
        <f>I13/0.543</f>
        <v>1255.9852670349908</v>
      </c>
      <c r="K14" s="1892"/>
      <c r="L14" s="1869"/>
      <c r="M14" s="1455"/>
      <c r="N14" s="101" t="s">
        <v>628</v>
      </c>
      <c r="O14" s="715">
        <f>O13/0.4644</f>
        <v>1343.6692506459949</v>
      </c>
      <c r="P14" s="715">
        <f>P13/0.4644</f>
        <v>1363.0490956072351</v>
      </c>
      <c r="Q14" s="715">
        <f>Q13/0.4644</f>
        <v>1363.0490956072351</v>
      </c>
      <c r="R14" s="715">
        <f>R13/0.4644</f>
        <v>1343.6692506459949</v>
      </c>
      <c r="S14" s="715">
        <f>S13/0.4644</f>
        <v>1384.58225667528</v>
      </c>
    </row>
    <row r="15" spans="1:19" s="55" customFormat="1" ht="16.5" customHeight="1">
      <c r="A15" s="1892"/>
      <c r="B15" s="1868" t="s">
        <v>3563</v>
      </c>
      <c r="C15" s="1455"/>
      <c r="D15" s="709" t="s">
        <v>640</v>
      </c>
      <c r="E15" s="719">
        <f>ROUND(662*Belarus*(1-B74),2)</f>
        <v>662</v>
      </c>
      <c r="F15" s="719">
        <f>ROUND(672*Belarus*(1-B74),2)</f>
        <v>672</v>
      </c>
      <c r="G15" s="719">
        <f>ROUND(672*Belarus*(1-B74),2)</f>
        <v>672</v>
      </c>
      <c r="H15" s="719">
        <f>ROUND(662*Belarus*(1-B74),2)</f>
        <v>662</v>
      </c>
      <c r="I15" s="719">
        <f>ROUND(682*Belarus*(1-B74),2)</f>
        <v>682</v>
      </c>
      <c r="K15" s="1892"/>
      <c r="L15" s="1868" t="s">
        <v>3572</v>
      </c>
      <c r="M15" s="1455"/>
      <c r="N15" s="101" t="s">
        <v>640</v>
      </c>
      <c r="O15" s="719">
        <f>ROUND(624*Belarus*(1-B74),2)</f>
        <v>624</v>
      </c>
      <c r="P15" s="719">
        <f>ROUND(633*Belarus*(1-B74),2)</f>
        <v>633</v>
      </c>
      <c r="Q15" s="719">
        <f>ROUND(633*Belarus*(1-B74),2)</f>
        <v>633</v>
      </c>
      <c r="R15" s="719">
        <f>ROUND(624*Belarus*(1-B74),2)</f>
        <v>624</v>
      </c>
      <c r="S15" s="719">
        <f>ROUND(643*Belarus*(1-B74),2)</f>
        <v>643</v>
      </c>
    </row>
    <row r="16" spans="1:19" s="55" customFormat="1" ht="16.5" customHeight="1">
      <c r="A16" s="1892"/>
      <c r="B16" s="1869"/>
      <c r="C16" s="1455"/>
      <c r="D16" s="113" t="s">
        <v>628</v>
      </c>
      <c r="E16" s="715">
        <f>E15/0.543</f>
        <v>1219.1528545119704</v>
      </c>
      <c r="F16" s="715">
        <f>F15/0.543</f>
        <v>1237.5690607734805</v>
      </c>
      <c r="G16" s="715">
        <f>G15/0.543</f>
        <v>1237.5690607734805</v>
      </c>
      <c r="H16" s="715">
        <f>H15/0.543</f>
        <v>1219.1528545119704</v>
      </c>
      <c r="I16" s="715">
        <f>I15/0.543</f>
        <v>1255.9852670349908</v>
      </c>
      <c r="K16" s="1892"/>
      <c r="L16" s="1869"/>
      <c r="M16" s="1455"/>
      <c r="N16" s="101" t="s">
        <v>628</v>
      </c>
      <c r="O16" s="715">
        <f>O15/0.4644</f>
        <v>1343.6692506459949</v>
      </c>
      <c r="P16" s="715">
        <f>P15/0.4644</f>
        <v>1363.0490956072351</v>
      </c>
      <c r="Q16" s="715">
        <f>Q15/0.4644</f>
        <v>1363.0490956072351</v>
      </c>
      <c r="R16" s="715">
        <f>R15/0.4644</f>
        <v>1343.6692506459949</v>
      </c>
      <c r="S16" s="715">
        <f>S15/0.4644</f>
        <v>1384.58225667528</v>
      </c>
    </row>
    <row r="17" spans="1:20" s="55" customFormat="1" ht="16.5" customHeight="1">
      <c r="A17" s="1892"/>
      <c r="B17" s="1868" t="s">
        <v>3564</v>
      </c>
      <c r="C17" s="1455"/>
      <c r="D17" s="709" t="s">
        <v>640</v>
      </c>
      <c r="E17" s="719">
        <f>ROUND(662*Belarus*(1-B74),2)</f>
        <v>662</v>
      </c>
      <c r="F17" s="719">
        <f>ROUND(672*Belarus*(1-B74),2)</f>
        <v>672</v>
      </c>
      <c r="G17" s="719">
        <f>ROUND(672*Belarus*(1-B74),2)</f>
        <v>672</v>
      </c>
      <c r="H17" s="719">
        <f>ROUND(662*Belarus*(1-B74),2)</f>
        <v>662</v>
      </c>
      <c r="I17" s="719">
        <f>ROUND(682*Belarus*(1-B74),2)</f>
        <v>682</v>
      </c>
      <c r="K17" s="1892"/>
      <c r="L17" s="1868" t="s">
        <v>3573</v>
      </c>
      <c r="M17" s="1455"/>
      <c r="N17" s="101" t="s">
        <v>640</v>
      </c>
      <c r="O17" s="719">
        <f>ROUND(624*Belarus*(1-B74),2)</f>
        <v>624</v>
      </c>
      <c r="P17" s="719">
        <f>ROUND(633*Belarus*(1-B74),2)</f>
        <v>633</v>
      </c>
      <c r="Q17" s="719">
        <f>ROUND(633*Belarus*(1-B74),2)</f>
        <v>633</v>
      </c>
      <c r="R17" s="719">
        <f>ROUND(624*Belarus*(1-B74),2)</f>
        <v>624</v>
      </c>
      <c r="S17" s="719">
        <f>ROUND(643*Belarus*(1-B74),2)</f>
        <v>643</v>
      </c>
    </row>
    <row r="18" spans="1:20" s="55" customFormat="1" ht="16.5" customHeight="1">
      <c r="A18" s="1892"/>
      <c r="B18" s="1869"/>
      <c r="C18" s="1455"/>
      <c r="D18" s="113" t="s">
        <v>628</v>
      </c>
      <c r="E18" s="715">
        <f>E17/0.543</f>
        <v>1219.1528545119704</v>
      </c>
      <c r="F18" s="715">
        <f>F17/0.543</f>
        <v>1237.5690607734805</v>
      </c>
      <c r="G18" s="715">
        <f>G17/0.543</f>
        <v>1237.5690607734805</v>
      </c>
      <c r="H18" s="715">
        <f>H17/0.543</f>
        <v>1219.1528545119704</v>
      </c>
      <c r="I18" s="715">
        <f>I17/0.543</f>
        <v>1255.9852670349908</v>
      </c>
      <c r="K18" s="1892"/>
      <c r="L18" s="1869"/>
      <c r="M18" s="1455"/>
      <c r="N18" s="101" t="s">
        <v>628</v>
      </c>
      <c r="O18" s="715">
        <f>O17/0.4644</f>
        <v>1343.6692506459949</v>
      </c>
      <c r="P18" s="715">
        <f>P17/0.4644</f>
        <v>1363.0490956072351</v>
      </c>
      <c r="Q18" s="715">
        <f>Q17/0.4644</f>
        <v>1363.0490956072351</v>
      </c>
      <c r="R18" s="715">
        <f>R17/0.4644</f>
        <v>1343.6692506459949</v>
      </c>
      <c r="S18" s="715">
        <f>S17/0.4644</f>
        <v>1384.58225667528</v>
      </c>
    </row>
    <row r="19" spans="1:20" s="55" customFormat="1" ht="16.5" customHeight="1">
      <c r="A19" s="1892"/>
      <c r="B19" s="1868" t="s">
        <v>3565</v>
      </c>
      <c r="C19" s="1455"/>
      <c r="D19" s="709" t="s">
        <v>640</v>
      </c>
      <c r="E19" s="719">
        <f>ROUND(688*Belarus*(1-B74),2)</f>
        <v>688</v>
      </c>
      <c r="F19" s="719">
        <f>ROUND(698*Belarus*(1-B74),2)</f>
        <v>698</v>
      </c>
      <c r="G19" s="719">
        <f>ROUND(698*Belarus*(1-B74),2)</f>
        <v>698</v>
      </c>
      <c r="H19" s="719">
        <f>ROUND(688*Belarus*(1-B74),2)</f>
        <v>688</v>
      </c>
      <c r="I19" s="719">
        <f>ROUND(709*Belarus*(1-B74),2)</f>
        <v>709</v>
      </c>
      <c r="K19" s="1892"/>
      <c r="L19" s="1868" t="s">
        <v>3692</v>
      </c>
      <c r="M19" s="1455"/>
      <c r="N19" s="101" t="s">
        <v>640</v>
      </c>
      <c r="O19" s="719">
        <f>ROUND(624*Belarus*(1-C74),2)</f>
        <v>624</v>
      </c>
      <c r="P19" s="719">
        <f>ROUND(633*Belarus*(1-C74),2)</f>
        <v>633</v>
      </c>
      <c r="Q19" s="719">
        <f>ROUND(633*Belarus*(1-C74),2)</f>
        <v>633</v>
      </c>
      <c r="R19" s="719">
        <f>ROUND(624*Belarus*(1-C74),2)</f>
        <v>624</v>
      </c>
      <c r="S19" s="719">
        <f>ROUND(643*Belarus*(1-C74),2)</f>
        <v>643</v>
      </c>
    </row>
    <row r="20" spans="1:20" s="55" customFormat="1" ht="16.5" customHeight="1">
      <c r="A20" s="1892"/>
      <c r="B20" s="1869"/>
      <c r="C20" s="1455"/>
      <c r="D20" s="113" t="s">
        <v>628</v>
      </c>
      <c r="E20" s="715">
        <f>E19/0.543</f>
        <v>1267.0349907918967</v>
      </c>
      <c r="F20" s="715">
        <f>F19/0.543</f>
        <v>1285.451197053407</v>
      </c>
      <c r="G20" s="715">
        <f>G19/0.543</f>
        <v>1285.451197053407</v>
      </c>
      <c r="H20" s="715">
        <f>H19/0.543</f>
        <v>1267.0349907918967</v>
      </c>
      <c r="I20" s="715">
        <f>I19/0.543</f>
        <v>1305.7090239410682</v>
      </c>
      <c r="K20" s="1893"/>
      <c r="L20" s="1869"/>
      <c r="M20" s="1456"/>
      <c r="N20" s="101" t="s">
        <v>628</v>
      </c>
      <c r="O20" s="715">
        <f>O19/0.4644</f>
        <v>1343.6692506459949</v>
      </c>
      <c r="P20" s="715">
        <f>P19/0.4644</f>
        <v>1363.0490956072351</v>
      </c>
      <c r="Q20" s="715">
        <f>Q19/0.4644</f>
        <v>1363.0490956072351</v>
      </c>
      <c r="R20" s="715">
        <f>R19/0.4644</f>
        <v>1343.6692506459949</v>
      </c>
      <c r="S20" s="715">
        <f>S19/0.4644</f>
        <v>1384.58225667528</v>
      </c>
    </row>
    <row r="21" spans="1:20" s="55" customFormat="1" ht="16.5" customHeight="1">
      <c r="A21" s="1892"/>
      <c r="B21" s="1868" t="s">
        <v>3566</v>
      </c>
      <c r="C21" s="1455"/>
      <c r="D21" s="709" t="s">
        <v>640</v>
      </c>
      <c r="E21" s="719">
        <f>ROUND(662*Belarus*(1-C74),2)</f>
        <v>662</v>
      </c>
      <c r="F21" s="719">
        <f>ROUND(672*Belarus*(1-C74),2)</f>
        <v>672</v>
      </c>
      <c r="G21" s="719">
        <f>ROUND(672*Belarus*(1-C74),2)</f>
        <v>672</v>
      </c>
      <c r="H21" s="719">
        <f>ROUND(662*Belarus*(1-C74),2)</f>
        <v>662</v>
      </c>
      <c r="I21" s="719">
        <f>ROUND(682*Belarus*(1-C74),2)</f>
        <v>682</v>
      </c>
      <c r="K21" s="1854"/>
      <c r="L21" s="1868" t="s">
        <v>3574</v>
      </c>
      <c r="M21" s="1765" t="s">
        <v>1161</v>
      </c>
      <c r="N21" s="101" t="s">
        <v>640</v>
      </c>
      <c r="O21" s="719">
        <f>ROUND(1040*Belarus*(1-C74),2)</f>
        <v>1040</v>
      </c>
      <c r="P21" s="719">
        <f>ROUND(1056*Belarus*(1-C74),2)</f>
        <v>1056</v>
      </c>
      <c r="Q21" s="719">
        <f>ROUND(1056*Belarus*(1-C74),2)</f>
        <v>1056</v>
      </c>
      <c r="R21" s="719">
        <f>ROUND(1040*Belarus*(1-C74),2)</f>
        <v>1040</v>
      </c>
      <c r="S21" s="719">
        <f>ROUND(1071*Belarus*(1-C74),2)</f>
        <v>1071</v>
      </c>
    </row>
    <row r="22" spans="1:20" s="55" customFormat="1" ht="16.5" customHeight="1">
      <c r="A22" s="1893"/>
      <c r="B22" s="1869"/>
      <c r="C22" s="1456"/>
      <c r="D22" s="288" t="s">
        <v>628</v>
      </c>
      <c r="E22" s="715">
        <f>E21/0.543</f>
        <v>1219.1528545119704</v>
      </c>
      <c r="F22" s="715">
        <f>F21/0.543</f>
        <v>1237.5690607734805</v>
      </c>
      <c r="G22" s="715">
        <f>G21/0.543</f>
        <v>1237.5690607734805</v>
      </c>
      <c r="H22" s="715">
        <f>H21/0.543</f>
        <v>1219.1528545119704</v>
      </c>
      <c r="I22" s="715">
        <f>I21/0.543</f>
        <v>1255.9852670349908</v>
      </c>
      <c r="K22" s="1855"/>
      <c r="L22" s="1869"/>
      <c r="M22" s="1455"/>
      <c r="N22" s="101" t="s">
        <v>628</v>
      </c>
      <c r="O22" s="715">
        <f>O21/0.5418</f>
        <v>1919.5275009228499</v>
      </c>
      <c r="P22" s="715">
        <f>P21/0.5418</f>
        <v>1949.05869324474</v>
      </c>
      <c r="Q22" s="715">
        <f>Q21/0.5418</f>
        <v>1949.05869324474</v>
      </c>
      <c r="R22" s="715">
        <f>R21/0.5418</f>
        <v>1919.5275009228499</v>
      </c>
      <c r="S22" s="715">
        <f>S21/0.5418</f>
        <v>1976.7441860465119</v>
      </c>
    </row>
    <row r="23" spans="1:20" s="55" customFormat="1" ht="12.75" customHeight="1">
      <c r="A23" s="400"/>
      <c r="B23" s="164"/>
      <c r="C23" s="191"/>
      <c r="D23" s="164"/>
      <c r="E23" s="164"/>
      <c r="F23" s="293"/>
      <c r="G23" s="293"/>
      <c r="H23" s="293"/>
      <c r="I23" s="164"/>
      <c r="K23" s="1855"/>
      <c r="L23" s="1868" t="s">
        <v>3575</v>
      </c>
      <c r="M23" s="1455"/>
      <c r="N23" s="101" t="s">
        <v>640</v>
      </c>
      <c r="O23" s="719">
        <f>ROUND(1445*Belarus*(1-C74),2)</f>
        <v>1445</v>
      </c>
      <c r="P23" s="719">
        <f>ROUND(1467*Belarus*(1-C74),2)</f>
        <v>1467</v>
      </c>
      <c r="Q23" s="719">
        <f>ROUND(1467*Belarus*(1-C74),2)</f>
        <v>1467</v>
      </c>
      <c r="R23" s="719">
        <f>ROUND(1445*Belarus*(1-C74),2)</f>
        <v>1445</v>
      </c>
      <c r="S23" s="719">
        <f>ROUND(1488*Belarus*(1-C74),2)</f>
        <v>1488</v>
      </c>
    </row>
    <row r="24" spans="1:20" s="55" customFormat="1">
      <c r="K24" s="1856"/>
      <c r="L24" s="1869"/>
      <c r="M24" s="1456"/>
      <c r="N24" s="101" t="s">
        <v>628</v>
      </c>
      <c r="O24" s="715">
        <f>O23/0.5418</f>
        <v>2667.0358065706905</v>
      </c>
      <c r="P24" s="715">
        <f>P23/0.5418</f>
        <v>2707.6411960132891</v>
      </c>
      <c r="Q24" s="715">
        <f>Q23/0.5418</f>
        <v>2707.6411960132891</v>
      </c>
      <c r="R24" s="715">
        <f>R23/0.5418</f>
        <v>2667.0358065706905</v>
      </c>
      <c r="S24" s="715">
        <f>S23/0.5418</f>
        <v>2746.40088593577</v>
      </c>
    </row>
    <row r="26" spans="1:20" s="55" customFormat="1">
      <c r="A26" s="1495" t="s">
        <v>1071</v>
      </c>
      <c r="B26" s="1495" t="s">
        <v>1132</v>
      </c>
      <c r="C26" s="1388" t="s">
        <v>1073</v>
      </c>
      <c r="D26" s="1388" t="s">
        <v>622</v>
      </c>
      <c r="E26" s="1491" t="s">
        <v>3656</v>
      </c>
      <c r="F26" s="1491"/>
      <c r="G26" s="1491"/>
      <c r="H26" s="1491"/>
      <c r="I26" s="1491"/>
      <c r="J26" s="325"/>
      <c r="K26" s="1495" t="s">
        <v>1071</v>
      </c>
      <c r="L26" s="1495" t="s">
        <v>1132</v>
      </c>
      <c r="M26" s="1388" t="s">
        <v>1073</v>
      </c>
      <c r="N26" s="1388" t="s">
        <v>622</v>
      </c>
      <c r="O26" s="1491" t="s">
        <v>3656</v>
      </c>
      <c r="P26" s="1491"/>
      <c r="Q26" s="1491"/>
      <c r="R26" s="1491"/>
      <c r="S26" s="1491"/>
    </row>
    <row r="27" spans="1:20" s="55" customFormat="1" ht="29.25" customHeight="1">
      <c r="A27" s="1470"/>
      <c r="B27" s="1470"/>
      <c r="C27" s="1388"/>
      <c r="D27" s="1388"/>
      <c r="E27" s="62" t="s">
        <v>3546</v>
      </c>
      <c r="F27" s="62" t="s">
        <v>3605</v>
      </c>
      <c r="G27" s="62" t="s">
        <v>3606</v>
      </c>
      <c r="H27" s="62" t="s">
        <v>3607</v>
      </c>
      <c r="I27" s="62" t="s">
        <v>3608</v>
      </c>
      <c r="J27" s="325"/>
      <c r="K27" s="1470"/>
      <c r="L27" s="1470"/>
      <c r="M27" s="1388"/>
      <c r="N27" s="1388"/>
      <c r="O27" s="107" t="s">
        <v>3546</v>
      </c>
      <c r="P27" s="107" t="s">
        <v>3605</v>
      </c>
      <c r="Q27" s="107" t="s">
        <v>3606</v>
      </c>
      <c r="R27" s="107" t="s">
        <v>3607</v>
      </c>
      <c r="S27" s="107" t="s">
        <v>3608</v>
      </c>
    </row>
    <row r="28" spans="1:20" s="55" customFormat="1">
      <c r="A28" s="1539" t="s">
        <v>1169</v>
      </c>
      <c r="B28" s="1539"/>
      <c r="C28" s="1539"/>
      <c r="D28" s="1539"/>
      <c r="E28" s="1539"/>
      <c r="F28" s="1539"/>
      <c r="G28" s="1539"/>
      <c r="H28" s="1539"/>
      <c r="I28" s="1539"/>
      <c r="J28" s="1539"/>
      <c r="K28" s="1539"/>
      <c r="L28" s="1539"/>
      <c r="M28" s="1539"/>
      <c r="N28" s="1539"/>
      <c r="O28" s="1539"/>
      <c r="P28" s="1539"/>
      <c r="Q28" s="1539"/>
      <c r="R28" s="1539"/>
      <c r="S28" s="1539"/>
    </row>
    <row r="29" spans="1:20" ht="15.75" customHeight="1">
      <c r="A29" s="1351" t="s">
        <v>1171</v>
      </c>
      <c r="B29" s="1351"/>
      <c r="C29" s="81" t="s">
        <v>1172</v>
      </c>
      <c r="D29" s="78" t="s">
        <v>640</v>
      </c>
      <c r="E29" s="714">
        <f>ROUND(1333*Belarus*(1-E74),2)</f>
        <v>1333</v>
      </c>
      <c r="F29" s="714">
        <f>ROUND(1353*Belarus*(1-E74),2)</f>
        <v>1353</v>
      </c>
      <c r="G29" s="714">
        <f>ROUND(1353*Belarus*(1-E74),2)</f>
        <v>1353</v>
      </c>
      <c r="H29" s="714">
        <f>ROUND(1333*Belarus*(1-E74),2)</f>
        <v>1333</v>
      </c>
      <c r="I29" s="714">
        <f>ROUND(1373*Belarus*(1-E74),2)</f>
        <v>1373</v>
      </c>
      <c r="K29" s="1868" t="s">
        <v>1218</v>
      </c>
      <c r="L29" s="1868"/>
      <c r="M29" s="64" t="s">
        <v>1183</v>
      </c>
      <c r="N29" s="105" t="s">
        <v>640</v>
      </c>
      <c r="O29" s="720">
        <f>ROUND(874*Belarus*(1-E74),2)</f>
        <v>874</v>
      </c>
      <c r="P29" s="720">
        <f>ROUND(887*Belarus*(1-E74),2)</f>
        <v>887</v>
      </c>
      <c r="Q29" s="720">
        <f>ROUND(887*Belarus*(1-E74),2)</f>
        <v>887</v>
      </c>
      <c r="R29" s="720">
        <f>ROUND(874*Belarus*(1-E74),2)</f>
        <v>874</v>
      </c>
      <c r="S29" s="720">
        <f>ROUND(900*Belarus*(1-E74),2)</f>
        <v>900</v>
      </c>
      <c r="T29" s="113"/>
    </row>
    <row r="30" spans="1:20" ht="15.75" customHeight="1">
      <c r="A30" s="1351" t="s">
        <v>1174</v>
      </c>
      <c r="B30" s="1351"/>
      <c r="C30" s="103" t="s">
        <v>1175</v>
      </c>
      <c r="D30" s="101" t="s">
        <v>640</v>
      </c>
      <c r="E30" s="714">
        <f>ROUND(680*Belarus*(1-E74),2)</f>
        <v>680</v>
      </c>
      <c r="F30" s="714">
        <f>ROUND(690*Belarus*(1-E74),2)</f>
        <v>690</v>
      </c>
      <c r="G30" s="714">
        <f>ROUND(690*Belarus*(1-E74),2)</f>
        <v>690</v>
      </c>
      <c r="H30" s="714">
        <f>ROUND(680*Belarus*(1-E74),2)</f>
        <v>680</v>
      </c>
      <c r="I30" s="714">
        <f>ROUND(700*Belarus*(1-E74),2)</f>
        <v>700</v>
      </c>
      <c r="K30" s="1351" t="s">
        <v>1137</v>
      </c>
      <c r="L30" s="1351"/>
      <c r="M30" s="1765" t="s">
        <v>1138</v>
      </c>
      <c r="N30" s="105" t="s">
        <v>640</v>
      </c>
      <c r="O30" s="715">
        <f>ROUND(1366*Belarus*(1-E74),2)</f>
        <v>1366</v>
      </c>
      <c r="P30" s="715">
        <f>ROUND(1386*Belarus*(1-E74),2)</f>
        <v>1386</v>
      </c>
      <c r="Q30" s="715">
        <f>ROUND(1386*Belarus*(1-E74),2)</f>
        <v>1386</v>
      </c>
      <c r="R30" s="715">
        <f>ROUND(1366*Belarus*(1-E74),2)</f>
        <v>1366</v>
      </c>
      <c r="S30" s="715">
        <f>ROUND(1407*Belarus*(1-E74),2)</f>
        <v>1407</v>
      </c>
      <c r="T30" s="113"/>
    </row>
    <row r="31" spans="1:20" ht="15.75" customHeight="1">
      <c r="A31" s="1351" t="s">
        <v>1177</v>
      </c>
      <c r="B31" s="1351"/>
      <c r="C31" s="103" t="s">
        <v>1178</v>
      </c>
      <c r="D31" s="101" t="s">
        <v>640</v>
      </c>
      <c r="E31" s="714">
        <f>ROUND(2376*Belarus*(1-E74),2)</f>
        <v>2376</v>
      </c>
      <c r="F31" s="714">
        <f>ROUND(2412*Belarus*(1-E74),2)</f>
        <v>2412</v>
      </c>
      <c r="G31" s="714">
        <f>ROUND(2412*Belarus*(1-E74),2)</f>
        <v>2412</v>
      </c>
      <c r="H31" s="714">
        <f>ROUND(2376*Belarus*(1-E74),2)</f>
        <v>2376</v>
      </c>
      <c r="I31" s="714">
        <f>ROUND(2447*Belarus*(1-E74),2)</f>
        <v>2447</v>
      </c>
      <c r="K31" s="1351" t="s">
        <v>1140</v>
      </c>
      <c r="L31" s="1351"/>
      <c r="M31" s="1456"/>
      <c r="N31" s="105" t="s">
        <v>640</v>
      </c>
      <c r="O31" s="715">
        <f>ROUND(1366*Belarus*(1-E74),2)</f>
        <v>1366</v>
      </c>
      <c r="P31" s="715">
        <f>ROUND(1386*Belarus*(1-E74),2)</f>
        <v>1386</v>
      </c>
      <c r="Q31" s="715">
        <f>ROUND(1386*Belarus*(1-E74),2)</f>
        <v>1386</v>
      </c>
      <c r="R31" s="715">
        <f>ROUND(1366*Belarus*(1-E74),2)</f>
        <v>1366</v>
      </c>
      <c r="S31" s="715">
        <f>ROUND(1407*Belarus*(1-E74),2)</f>
        <v>1407</v>
      </c>
      <c r="T31" s="113"/>
    </row>
    <row r="32" spans="1:20" ht="15.75" customHeight="1">
      <c r="A32" s="1351" t="s">
        <v>1181</v>
      </c>
      <c r="B32" s="1351"/>
      <c r="C32" s="64" t="s">
        <v>1175</v>
      </c>
      <c r="D32" s="105" t="s">
        <v>640</v>
      </c>
      <c r="E32" s="714">
        <f>ROUND(1354*Belarus*(1-E74),2)</f>
        <v>1354</v>
      </c>
      <c r="F32" s="714">
        <f>ROUND(1374*Belarus*(1-E74),2)</f>
        <v>1374</v>
      </c>
      <c r="G32" s="714">
        <f>ROUND(1374*Belarus*(1-E74),2)</f>
        <v>1374</v>
      </c>
      <c r="H32" s="714">
        <f>ROUND(1354*Belarus*(1-E74),2)</f>
        <v>1354</v>
      </c>
      <c r="I32" s="714">
        <f>ROUND(1395*Belarus*(1-E74),2)</f>
        <v>1395</v>
      </c>
      <c r="K32" s="1351" t="s">
        <v>1141</v>
      </c>
      <c r="L32" s="1351"/>
      <c r="M32" s="1765" t="s">
        <v>1142</v>
      </c>
      <c r="N32" s="105" t="s">
        <v>640</v>
      </c>
      <c r="O32" s="715">
        <f>ROUND(1789*Belarus*(1-E74),2)</f>
        <v>1789</v>
      </c>
      <c r="P32" s="715">
        <f>ROUND(1816*Belarus*(1-E74),2)</f>
        <v>1816</v>
      </c>
      <c r="Q32" s="715">
        <f>ROUND(1816*Belarus*(1-E74),2)</f>
        <v>1816</v>
      </c>
      <c r="R32" s="715">
        <f>ROUND(1789*Belarus*(1-E74),2)</f>
        <v>1789</v>
      </c>
      <c r="S32" s="715">
        <f>ROUND(1843*Belarus*(1-E74),2)</f>
        <v>1843</v>
      </c>
      <c r="T32" s="113"/>
    </row>
    <row r="33" spans="1:20" ht="15.75" customHeight="1">
      <c r="A33" s="1351" t="s">
        <v>1184</v>
      </c>
      <c r="B33" s="1351"/>
      <c r="C33" s="103" t="s">
        <v>1185</v>
      </c>
      <c r="D33" s="101" t="s">
        <v>640</v>
      </c>
      <c r="E33" s="714">
        <f>ROUND(3533*Belarus*(1-E74),2)</f>
        <v>3533</v>
      </c>
      <c r="F33" s="714">
        <f>ROUND(3586*Belarus*(1-E74),2)</f>
        <v>3586</v>
      </c>
      <c r="G33" s="714">
        <f>ROUND(3586*Belarus*(1-E74),2)</f>
        <v>3586</v>
      </c>
      <c r="H33" s="714">
        <f>ROUND(3533*Belarus*(1-E74),2)</f>
        <v>3533</v>
      </c>
      <c r="I33" s="714">
        <f>ROUND(3639*Belarus*(1-E74),2)</f>
        <v>3639</v>
      </c>
      <c r="K33" s="1351" t="s">
        <v>1143</v>
      </c>
      <c r="L33" s="1351"/>
      <c r="M33" s="1456"/>
      <c r="N33" s="105" t="s">
        <v>640</v>
      </c>
      <c r="O33" s="715">
        <f>ROUND(1789*Belarus*(1-E74),2)</f>
        <v>1789</v>
      </c>
      <c r="P33" s="715">
        <f>ROUND(1816*Belarus*(1-E74),2)</f>
        <v>1816</v>
      </c>
      <c r="Q33" s="715">
        <f>ROUND(1816*Belarus*(1-E74),2)</f>
        <v>1816</v>
      </c>
      <c r="R33" s="715">
        <f>ROUND(1789*Belarus*(1-E74),2)</f>
        <v>1789</v>
      </c>
      <c r="S33" s="715">
        <f>ROUND(1843*Belarus*(1-E74),2)</f>
        <v>1843</v>
      </c>
      <c r="T33" s="113"/>
    </row>
    <row r="34" spans="1:20" ht="15.75" customHeight="1">
      <c r="A34" s="1351" t="s">
        <v>1187</v>
      </c>
      <c r="B34" s="1351"/>
      <c r="C34" s="103" t="s">
        <v>1175</v>
      </c>
      <c r="D34" s="101" t="s">
        <v>640</v>
      </c>
      <c r="E34" s="714">
        <f>ROUND(1354*Belarus*(1-E74),2)</f>
        <v>1354</v>
      </c>
      <c r="F34" s="714">
        <f>ROUND(1374*Belarus*(1-E74),2)</f>
        <v>1374</v>
      </c>
      <c r="G34" s="714">
        <f>ROUND(1374*Belarus*(1-E74),2)</f>
        <v>1374</v>
      </c>
      <c r="H34" s="714">
        <f>ROUND(1354*Belarus*(1-E74),2)</f>
        <v>1354</v>
      </c>
      <c r="I34" s="714">
        <f>ROUND(1395*Belarus*(1-E74),2)</f>
        <v>1395</v>
      </c>
      <c r="K34" s="1351" t="s">
        <v>1144</v>
      </c>
      <c r="L34" s="1351"/>
      <c r="M34" s="1765" t="s">
        <v>1145</v>
      </c>
      <c r="N34" s="105" t="s">
        <v>640</v>
      </c>
      <c r="O34" s="715">
        <f>ROUND(1300*Belarus*(1-E74),2)</f>
        <v>1300</v>
      </c>
      <c r="P34" s="715">
        <f>ROUND(1320*Belarus*(1-E74),2)</f>
        <v>1320</v>
      </c>
      <c r="Q34" s="715">
        <f>ROUND(1320*Belarus*(1-E74),2)</f>
        <v>1320</v>
      </c>
      <c r="R34" s="715">
        <f>ROUND(1300*Belarus*(1-E74),2)</f>
        <v>1300</v>
      </c>
      <c r="S34" s="715">
        <f>ROUND(1339*Belarus*(1-E74),2)</f>
        <v>1339</v>
      </c>
      <c r="T34" s="113"/>
    </row>
    <row r="35" spans="1:20" ht="15.75" customHeight="1">
      <c r="A35" s="1351" t="s">
        <v>1189</v>
      </c>
      <c r="B35" s="1351"/>
      <c r="C35" s="242" t="s">
        <v>1190</v>
      </c>
      <c r="D35" s="101" t="s">
        <v>640</v>
      </c>
      <c r="E35" s="714">
        <f>ROUND(7554*Belarus*(1-E74),2)</f>
        <v>7554</v>
      </c>
      <c r="F35" s="714">
        <f>ROUND(7667*Belarus*(1-E74),2)</f>
        <v>7667</v>
      </c>
      <c r="G35" s="714">
        <f>ROUND(7667*Belarus*(1-E74),2)</f>
        <v>7667</v>
      </c>
      <c r="H35" s="714">
        <f>ROUND(7554*Belarus*(1-E74),2)</f>
        <v>7554</v>
      </c>
      <c r="I35" s="714">
        <f>ROUND(7781*Belarus*(1-E74),2)</f>
        <v>7781</v>
      </c>
      <c r="K35" s="1351" t="s">
        <v>1146</v>
      </c>
      <c r="L35" s="1351"/>
      <c r="M35" s="1456"/>
      <c r="N35" s="105" t="s">
        <v>640</v>
      </c>
      <c r="O35" s="715">
        <f>ROUND(1300*Belarus*(1-E74),2)</f>
        <v>1300</v>
      </c>
      <c r="P35" s="715">
        <f>ROUND(1320*Belarus*(1-E74),2)</f>
        <v>1320</v>
      </c>
      <c r="Q35" s="715">
        <f>ROUND(1320*Belarus*(1-E74),2)</f>
        <v>1320</v>
      </c>
      <c r="R35" s="715">
        <f>ROUND(1300*Belarus*(1-E74),2)</f>
        <v>1300</v>
      </c>
      <c r="S35" s="715">
        <f>ROUND(1339*Belarus*(1-E74),2)</f>
        <v>1339</v>
      </c>
      <c r="T35" s="113"/>
    </row>
    <row r="36" spans="1:20" ht="15.75" customHeight="1">
      <c r="A36" s="1351" t="s">
        <v>1192</v>
      </c>
      <c r="B36" s="1351"/>
      <c r="C36" s="242" t="s">
        <v>1190</v>
      </c>
      <c r="D36" s="101" t="s">
        <v>640</v>
      </c>
      <c r="E36" s="714">
        <f>ROUND(7840*Belarus*(1-E74),2)</f>
        <v>7840</v>
      </c>
      <c r="F36" s="714">
        <f>ROUND(7958*Belarus*(1-E74),2)</f>
        <v>7958</v>
      </c>
      <c r="G36" s="714">
        <f>ROUND(7958*Belarus*(1-E74),2)</f>
        <v>7958</v>
      </c>
      <c r="H36" s="714">
        <f>ROUND(7840*Belarus*(1-E74),2)</f>
        <v>7840</v>
      </c>
      <c r="I36" s="714">
        <f>ROUND(8075*Belarus*(1-E74),2)</f>
        <v>8075</v>
      </c>
      <c r="K36" s="1351" t="s">
        <v>3567</v>
      </c>
      <c r="L36" s="1351"/>
      <c r="M36" s="64" t="s">
        <v>1147</v>
      </c>
      <c r="N36" s="105" t="s">
        <v>640</v>
      </c>
      <c r="O36" s="715">
        <f>ROUND(1920*Belarus*(1-E74),2)</f>
        <v>1920</v>
      </c>
      <c r="P36" s="715">
        <f>ROUND(1949*Belarus*(1-E74),2)</f>
        <v>1949</v>
      </c>
      <c r="Q36" s="715">
        <f>ROUND(1949*Belarus*(1-E74),2)</f>
        <v>1949</v>
      </c>
      <c r="R36" s="715">
        <f>ROUND(1920*Belarus*(1-E74),2)</f>
        <v>1920</v>
      </c>
      <c r="S36" s="715">
        <f>ROUND(1978*Belarus*(1-E74),2)</f>
        <v>1978</v>
      </c>
      <c r="T36" s="113"/>
    </row>
    <row r="37" spans="1:20" ht="15.75" customHeight="1">
      <c r="A37" s="1351" t="s">
        <v>1194</v>
      </c>
      <c r="B37" s="1351"/>
      <c r="C37" s="242" t="s">
        <v>1190</v>
      </c>
      <c r="D37" s="101" t="s">
        <v>640</v>
      </c>
      <c r="E37" s="714">
        <f>ROUND(7100*Belarus*(1-E74),2)</f>
        <v>7100</v>
      </c>
      <c r="F37" s="714">
        <f>ROUND(7207*Belarus*(1-E74),2)</f>
        <v>7207</v>
      </c>
      <c r="G37" s="714">
        <f>ROUND(7207*Belarus*(1-E74),2)</f>
        <v>7207</v>
      </c>
      <c r="H37" s="714">
        <f>ROUND(7100*Belarus*(1-E74),2)</f>
        <v>7100</v>
      </c>
      <c r="I37" s="714">
        <f>ROUND(7313*Belarus*(1-E74),2)</f>
        <v>7313</v>
      </c>
      <c r="K37" s="1351" t="s">
        <v>1149</v>
      </c>
      <c r="L37" s="1351"/>
      <c r="M37" s="64" t="s">
        <v>1150</v>
      </c>
      <c r="N37" s="105" t="s">
        <v>640</v>
      </c>
      <c r="O37" s="715">
        <f>ROUND(1688*Belarus*(1-E74),2)</f>
        <v>1688</v>
      </c>
      <c r="P37" s="715">
        <f>ROUND(1713*Belarus*(1-E74),2)</f>
        <v>1713</v>
      </c>
      <c r="Q37" s="715">
        <f>ROUND(1713*Belarus*(1-E74),2)</f>
        <v>1713</v>
      </c>
      <c r="R37" s="715">
        <f>ROUND(1688*Belarus*(1-E74),2)</f>
        <v>1688</v>
      </c>
      <c r="S37" s="715">
        <f>ROUND(1739*Belarus*(1-E74),2)</f>
        <v>1739</v>
      </c>
      <c r="T37" s="113"/>
    </row>
    <row r="38" spans="1:20" ht="15.75" customHeight="1">
      <c r="A38" s="1351" t="s">
        <v>1196</v>
      </c>
      <c r="B38" s="1351"/>
      <c r="C38" s="1765" t="s">
        <v>1197</v>
      </c>
      <c r="D38" s="101" t="s">
        <v>640</v>
      </c>
      <c r="E38" s="714">
        <f>ROUND(1315*Belarus*(1-E74),2)</f>
        <v>1315</v>
      </c>
      <c r="F38" s="714">
        <f>ROUND(1335*Belarus*(1-E74),2)</f>
        <v>1335</v>
      </c>
      <c r="G38" s="714">
        <f>ROUND(1335*Belarus*(1-E74),2)</f>
        <v>1335</v>
      </c>
      <c r="H38" s="714">
        <f>ROUND(1315*Belarus*(1-E74),2)</f>
        <v>1315</v>
      </c>
      <c r="I38" s="714">
        <f>ROUND(1354*Belarus*(1-E74),2)</f>
        <v>1354</v>
      </c>
      <c r="K38" s="1351" t="s">
        <v>1151</v>
      </c>
      <c r="L38" s="1351"/>
      <c r="M38" s="103" t="s">
        <v>1152</v>
      </c>
      <c r="N38" s="101" t="s">
        <v>1082</v>
      </c>
      <c r="O38" s="715">
        <f>ROUND(1400*Belarus*(1-E74),2)</f>
        <v>1400</v>
      </c>
      <c r="P38" s="715">
        <f>ROUND(1421*Belarus*(1-E74),2)</f>
        <v>1421</v>
      </c>
      <c r="Q38" s="715">
        <f>ROUND(1421*Belarus*(1-E74),2)</f>
        <v>1421</v>
      </c>
      <c r="R38" s="715">
        <f>ROUND(1400*Belarus*(1-E74),2)</f>
        <v>1400</v>
      </c>
      <c r="S38" s="715">
        <f>ROUND(1442*Belarus*(1-E74),2)</f>
        <v>1442</v>
      </c>
      <c r="T38" s="113"/>
    </row>
    <row r="39" spans="1:20" ht="15.75" customHeight="1">
      <c r="A39" s="1351" t="s">
        <v>1199</v>
      </c>
      <c r="B39" s="1351"/>
      <c r="C39" s="1456"/>
      <c r="D39" s="101" t="s">
        <v>640</v>
      </c>
      <c r="E39" s="714">
        <f>ROUND(737*Belarus*(1-E74),2)</f>
        <v>737</v>
      </c>
      <c r="F39" s="714">
        <f>ROUND(748*Belarus*(1-E74),2)</f>
        <v>748</v>
      </c>
      <c r="G39" s="714">
        <f>ROUND(748*Belarus*(1-E74),2)</f>
        <v>748</v>
      </c>
      <c r="H39" s="714">
        <f>ROUND(737*Belarus*(1-E74),2)</f>
        <v>737</v>
      </c>
      <c r="I39" s="714">
        <f>ROUND(759*Belarus*(1-E74),2)</f>
        <v>759</v>
      </c>
      <c r="K39" s="1351" t="s">
        <v>1154</v>
      </c>
      <c r="L39" s="1351"/>
      <c r="M39" s="64" t="s">
        <v>1155</v>
      </c>
      <c r="N39" s="105" t="s">
        <v>1082</v>
      </c>
      <c r="O39" s="715">
        <f>ROUND(6012*Belarus*(1-E74),2)</f>
        <v>6012</v>
      </c>
      <c r="P39" s="715">
        <f>ROUND(6102*Belarus*(1-E74),2)</f>
        <v>6102</v>
      </c>
      <c r="Q39" s="715">
        <f>ROUND(6102*Belarus*(1-E74),2)</f>
        <v>6102</v>
      </c>
      <c r="R39" s="715">
        <f>ROUND(6012*Belarus*(1-E74),2)</f>
        <v>6012</v>
      </c>
      <c r="S39" s="715">
        <f>ROUND(6192*Belarus*(1-E74),2)</f>
        <v>6192</v>
      </c>
      <c r="T39" s="113"/>
    </row>
    <row r="40" spans="1:20" ht="15.75" customHeight="1">
      <c r="A40" s="1351" t="s">
        <v>1201</v>
      </c>
      <c r="B40" s="1351"/>
      <c r="C40" s="103" t="s">
        <v>1183</v>
      </c>
      <c r="D40" s="101" t="s">
        <v>640</v>
      </c>
      <c r="E40" s="714">
        <f>ROUND(986*Belarus*(1-E74),2)</f>
        <v>986</v>
      </c>
      <c r="F40" s="714">
        <f>ROUND(1001*Belarus*(1-E74),2)</f>
        <v>1001</v>
      </c>
      <c r="G40" s="714">
        <f>ROUND(1001*Belarus*(1-E74),2)</f>
        <v>1001</v>
      </c>
      <c r="H40" s="714">
        <f>ROUND(986*Belarus*(1-E74),2)</f>
        <v>986</v>
      </c>
      <c r="I40" s="714">
        <f>ROUND(1016*Belarus*(1-E74),2)</f>
        <v>1016</v>
      </c>
      <c r="K40" s="1351" t="s">
        <v>1156</v>
      </c>
      <c r="L40" s="1351"/>
      <c r="M40" s="64" t="s">
        <v>1152</v>
      </c>
      <c r="N40" s="105" t="s">
        <v>1082</v>
      </c>
      <c r="O40" s="715">
        <f>ROUND(2509*Belarus*(1-E74),2)</f>
        <v>2509</v>
      </c>
      <c r="P40" s="715">
        <f>ROUND(2547*Belarus*(1-E74),2)</f>
        <v>2547</v>
      </c>
      <c r="Q40" s="715">
        <f>ROUND(2547*Belarus*(1-E74),2)</f>
        <v>2547</v>
      </c>
      <c r="R40" s="715">
        <f>ROUND(2509*Belarus*(1-E74),2)</f>
        <v>2509</v>
      </c>
      <c r="S40" s="715">
        <f>ROUND(2584*Belarus*(1-E74),2)</f>
        <v>2584</v>
      </c>
      <c r="T40" s="113"/>
    </row>
    <row r="41" spans="1:20" ht="15" customHeight="1">
      <c r="A41" s="1418" t="s">
        <v>3576</v>
      </c>
      <c r="B41" s="1420"/>
      <c r="C41" s="1765" t="s">
        <v>1093</v>
      </c>
      <c r="D41" s="1766" t="s">
        <v>1096</v>
      </c>
      <c r="E41" s="1894" t="s">
        <v>1097</v>
      </c>
      <c r="F41" s="1895"/>
      <c r="G41" s="1895"/>
      <c r="H41" s="1895"/>
      <c r="I41" s="1896"/>
      <c r="K41" s="1351" t="s">
        <v>1157</v>
      </c>
      <c r="L41" s="1351"/>
      <c r="M41" s="103" t="s">
        <v>1158</v>
      </c>
      <c r="N41" s="101" t="s">
        <v>640</v>
      </c>
      <c r="O41" s="715">
        <f>ROUND(9456*Belarus*(1-E74),2)</f>
        <v>9456</v>
      </c>
      <c r="P41" s="715">
        <f>ROUND(9598*Belarus*(1-E74),2)</f>
        <v>9598</v>
      </c>
      <c r="Q41" s="715">
        <f>ROUND(9598*Belarus*(1-E74),2)</f>
        <v>9598</v>
      </c>
      <c r="R41" s="715">
        <f>ROUND(9456*Belarus*(1-E74),2)</f>
        <v>9456</v>
      </c>
      <c r="S41" s="715">
        <f>ROUND(9740*Belarus*(1-E74),2)</f>
        <v>9740</v>
      </c>
      <c r="T41" s="113"/>
    </row>
    <row r="42" spans="1:20" ht="15" customHeight="1">
      <c r="A42" s="1424"/>
      <c r="B42" s="1426"/>
      <c r="C42" s="1456"/>
      <c r="D42" s="1443"/>
      <c r="E42" s="1897"/>
      <c r="F42" s="1898"/>
      <c r="G42" s="1898"/>
      <c r="H42" s="1898"/>
      <c r="I42" s="1899"/>
      <c r="K42" s="1351" t="s">
        <v>1159</v>
      </c>
      <c r="L42" s="1351"/>
      <c r="M42" s="103" t="s">
        <v>1160</v>
      </c>
      <c r="N42" s="101" t="s">
        <v>640</v>
      </c>
      <c r="O42" s="1058">
        <f>ROUND(5252*Belarus*(1-E74),2)</f>
        <v>5252</v>
      </c>
      <c r="P42" s="1058">
        <f>ROUND(5331*Belarus*(1-E74),2)</f>
        <v>5331</v>
      </c>
      <c r="Q42" s="1058">
        <f>ROUND(5331*Belarus*(1-E74),2)</f>
        <v>5331</v>
      </c>
      <c r="R42" s="1058">
        <f>ROUND(5252*Belarus*(1-E74),2)</f>
        <v>5252</v>
      </c>
      <c r="S42" s="1058">
        <f>ROUND(5410*Belarus*(1-E74),2)</f>
        <v>5410</v>
      </c>
      <c r="T42" s="113"/>
    </row>
    <row r="43" spans="1:20" ht="28.5" customHeight="1">
      <c r="A43" s="1351" t="s">
        <v>1208</v>
      </c>
      <c r="B43" s="1351"/>
      <c r="C43" s="103" t="s">
        <v>1183</v>
      </c>
      <c r="D43" s="43"/>
      <c r="E43" s="714">
        <f>ROUND(2648*Belarus*(1-E74),2)</f>
        <v>2648</v>
      </c>
      <c r="F43" s="714">
        <f>ROUND(2688*Belarus*(1-E74),2)</f>
        <v>2688</v>
      </c>
      <c r="G43" s="714">
        <f>ROUND(2688*Belarus*(1-E74),2)</f>
        <v>2688</v>
      </c>
      <c r="H43" s="714">
        <f>ROUND(2648*Belarus*(1-E74),2)</f>
        <v>2648</v>
      </c>
      <c r="I43" s="714">
        <f>ROUND(2727*Belarus*(1-E74),2)</f>
        <v>2727</v>
      </c>
      <c r="K43" s="1351" t="s">
        <v>1162</v>
      </c>
      <c r="L43" s="1351"/>
      <c r="M43" s="103" t="s">
        <v>1163</v>
      </c>
      <c r="N43" s="101" t="s">
        <v>640</v>
      </c>
      <c r="O43" s="1058">
        <f>ROUND(7518*Belarus*(1-E74),2)</f>
        <v>7518</v>
      </c>
      <c r="P43" s="1058">
        <f>ROUND(7631*Belarus*(1-E74),2)</f>
        <v>7631</v>
      </c>
      <c r="Q43" s="1058">
        <f>ROUND(7631*Belarus*(1-E74),2)</f>
        <v>7631</v>
      </c>
      <c r="R43" s="1058">
        <f>ROUND(7518*Belarus*(1-E74),2)</f>
        <v>7518</v>
      </c>
      <c r="S43" s="1058">
        <f>ROUND(7744*Belarus*(1-E74),2)</f>
        <v>7744</v>
      </c>
      <c r="T43" s="113"/>
    </row>
    <row r="44" spans="1:20" ht="17.25" customHeight="1">
      <c r="A44" s="1351" t="s">
        <v>1210</v>
      </c>
      <c r="B44" s="1351"/>
      <c r="C44" s="103" t="s">
        <v>1183</v>
      </c>
      <c r="D44" s="101" t="s">
        <v>640</v>
      </c>
      <c r="E44" s="714">
        <f>ROUND(980*Belarus*(1-E74),2)</f>
        <v>980</v>
      </c>
      <c r="F44" s="714">
        <f>ROUND(995*Belarus*(1-E74),2)</f>
        <v>995</v>
      </c>
      <c r="G44" s="714">
        <f>ROUND(995*Belarus*(1-E74),2)</f>
        <v>995</v>
      </c>
      <c r="H44" s="714">
        <f>ROUND(980*Belarus*(1-E74),2)</f>
        <v>980</v>
      </c>
      <c r="I44" s="714">
        <f>ROUND(1009*Belarus*(1-E74),2)</f>
        <v>1009</v>
      </c>
      <c r="K44" s="1351" t="s">
        <v>1164</v>
      </c>
      <c r="L44" s="1351"/>
      <c r="M44" s="103" t="s">
        <v>1165</v>
      </c>
      <c r="N44" s="101" t="s">
        <v>640</v>
      </c>
      <c r="O44" s="715">
        <f>ROUND(9509*Belarus*(1-E74),2)</f>
        <v>9509</v>
      </c>
      <c r="P44" s="715">
        <f>ROUND(9652*Belarus*(1-E74),2)</f>
        <v>9652</v>
      </c>
      <c r="Q44" s="715">
        <f>ROUND(9652*Belarus*(1-E74),2)</f>
        <v>9652</v>
      </c>
      <c r="R44" s="715">
        <f>ROUND(9509*Belarus*(1-E74),2)</f>
        <v>9509</v>
      </c>
      <c r="S44" s="715">
        <f>ROUND(9794*Belarus*(1-E74),2)</f>
        <v>9794</v>
      </c>
      <c r="T44" s="113"/>
    </row>
    <row r="45" spans="1:20" ht="17.25" customHeight="1">
      <c r="A45" s="1351" t="s">
        <v>1211</v>
      </c>
      <c r="B45" s="1351"/>
      <c r="C45" s="1765" t="s">
        <v>1212</v>
      </c>
      <c r="D45" s="101" t="s">
        <v>640</v>
      </c>
      <c r="E45" s="714">
        <f>ROUND(1275*Belarus*(1-E74),2)</f>
        <v>1275</v>
      </c>
      <c r="F45" s="714">
        <f>ROUND(1294*Belarus*(1-E74),2)</f>
        <v>1294</v>
      </c>
      <c r="G45" s="714">
        <f>ROUND(1294*Belarus*(1-E74),2)</f>
        <v>1294</v>
      </c>
      <c r="H45" s="714">
        <f>ROUND(1275*Belarus*(1-E74),2)</f>
        <v>1275</v>
      </c>
      <c r="I45" s="714">
        <f>ROUND(1313*Belarus*(1-E74),2)</f>
        <v>1313</v>
      </c>
      <c r="K45" s="1351" t="s">
        <v>1166</v>
      </c>
      <c r="L45" s="1351"/>
      <c r="M45" s="103" t="s">
        <v>1165</v>
      </c>
      <c r="N45" s="101" t="s">
        <v>640</v>
      </c>
      <c r="O45" s="1058">
        <f>ROUND(4499*Belarus*(1-E74),2)</f>
        <v>4499</v>
      </c>
      <c r="P45" s="1058">
        <f>ROUND(4566*Belarus*(1-E74),2)</f>
        <v>4566</v>
      </c>
      <c r="Q45" s="1058">
        <f>ROUND(4566*Belarus*(1-E74),2)</f>
        <v>4566</v>
      </c>
      <c r="R45" s="1058">
        <f>ROUND(4499*Belarus*(1-E74),2)</f>
        <v>4499</v>
      </c>
      <c r="S45" s="1058">
        <f>ROUND(4634*Belarus*(1-E74),2)</f>
        <v>4634</v>
      </c>
    </row>
    <row r="46" spans="1:20" ht="17.25" customHeight="1">
      <c r="A46" s="1351" t="s">
        <v>1213</v>
      </c>
      <c r="B46" s="1351"/>
      <c r="C46" s="1456"/>
      <c r="D46" s="101" t="s">
        <v>640</v>
      </c>
      <c r="E46" s="714">
        <f>ROUND(1275*Belarus*(1-E74),2)</f>
        <v>1275</v>
      </c>
      <c r="F46" s="714">
        <f>ROUND(1294*Belarus*(1-E74),2)</f>
        <v>1294</v>
      </c>
      <c r="G46" s="714">
        <f>ROUND(1294*Belarus*(1-E74),2)</f>
        <v>1294</v>
      </c>
      <c r="H46" s="714">
        <f>ROUND(1275*Belarus*(1-E74),2)</f>
        <v>1275</v>
      </c>
      <c r="I46" s="714">
        <f>ROUND(1313*Belarus*(1-E74),2)</f>
        <v>1313</v>
      </c>
      <c r="K46" s="1351" t="s">
        <v>1167</v>
      </c>
      <c r="L46" s="1351"/>
      <c r="M46" s="64" t="s">
        <v>1168</v>
      </c>
      <c r="N46" s="105" t="s">
        <v>640</v>
      </c>
      <c r="O46" s="715">
        <f>ROUND(9473*Belarus*(1-E74),2)</f>
        <v>9473</v>
      </c>
      <c r="P46" s="715">
        <f>ROUND(9615*Belarus*(1-E74),2)</f>
        <v>9615</v>
      </c>
      <c r="Q46" s="715">
        <f>ROUND(9615*Belarus*(1-E74),2)</f>
        <v>9615</v>
      </c>
      <c r="R46" s="715">
        <f>ROUND(9473*Belarus*(1-E74),2)</f>
        <v>9473</v>
      </c>
      <c r="S46" s="715">
        <f>ROUND(9757*Belarus*(1-E74),2)</f>
        <v>9757</v>
      </c>
    </row>
    <row r="47" spans="1:20" ht="17.25" customHeight="1">
      <c r="A47" s="1351" t="s">
        <v>1214</v>
      </c>
      <c r="B47" s="1351"/>
      <c r="C47" s="1900" t="s">
        <v>1215</v>
      </c>
      <c r="D47" s="101" t="s">
        <v>640</v>
      </c>
      <c r="E47" s="714">
        <f>ROUND(1240*Belarus*(1-E74),2)</f>
        <v>1240</v>
      </c>
      <c r="F47" s="714">
        <f>ROUND(1259*Belarus*(1-E74),2)</f>
        <v>1259</v>
      </c>
      <c r="G47" s="714">
        <f>ROUND(1259*Belarus*(1-E74),2)</f>
        <v>1259</v>
      </c>
      <c r="H47" s="714">
        <f>ROUND(1240*Belarus*(1-E74),2)</f>
        <v>1240</v>
      </c>
      <c r="I47" s="714">
        <f>ROUND(1277*Belarus*(1-E74),2)</f>
        <v>1277</v>
      </c>
      <c r="K47" s="1351" t="s">
        <v>4101</v>
      </c>
      <c r="L47" s="1351"/>
      <c r="M47" s="103" t="s">
        <v>1170</v>
      </c>
      <c r="N47" s="101" t="s">
        <v>640</v>
      </c>
      <c r="O47" s="715">
        <f>ROUND(3600*Belarus*(1-L74),2)</f>
        <v>3600</v>
      </c>
      <c r="P47" s="715">
        <f>ROUND(3600*Belarus*(1-M74),2)</f>
        <v>3600</v>
      </c>
      <c r="Q47" s="715">
        <f>ROUND(3600*Belarus*(1-N74),2)</f>
        <v>3600</v>
      </c>
      <c r="R47" s="715">
        <f>ROUND(3600*Belarus*(1-O74),2)</f>
        <v>3600</v>
      </c>
      <c r="S47" s="715">
        <f>ROUND(3600*Belarus*(1-P74),2)</f>
        <v>3600</v>
      </c>
      <c r="T47" s="113"/>
    </row>
    <row r="48" spans="1:20" ht="22.5" customHeight="1">
      <c r="A48" s="1351" t="s">
        <v>1216</v>
      </c>
      <c r="B48" s="1351"/>
      <c r="C48" s="1901"/>
      <c r="D48" s="101" t="s">
        <v>640</v>
      </c>
      <c r="E48" s="714">
        <f>ROUND(1240*Belarus*(1-E74),2)</f>
        <v>1240</v>
      </c>
      <c r="F48" s="714">
        <f>ROUND(1259*Belarus*(1-E74),2)</f>
        <v>1259</v>
      </c>
      <c r="G48" s="714">
        <f>ROUND(1259*Belarus*(1-E74),2)</f>
        <v>1259</v>
      </c>
      <c r="H48" s="714">
        <f>ROUND(1240*Belarus*(1-E74),2)</f>
        <v>1240</v>
      </c>
      <c r="I48" s="714">
        <f>ROUND(1277*Belarus*(1-E74),2)</f>
        <v>1277</v>
      </c>
      <c r="K48" s="1351" t="s">
        <v>4102</v>
      </c>
      <c r="L48" s="1351"/>
      <c r="M48" s="103" t="s">
        <v>1173</v>
      </c>
      <c r="N48" s="101" t="s">
        <v>640</v>
      </c>
      <c r="O48" s="715">
        <f>ROUND(4900*Belarus*(1-L794),2)</f>
        <v>4900</v>
      </c>
      <c r="P48" s="715">
        <f>ROUND(4900*Belarus*(1-M794),2)</f>
        <v>4900</v>
      </c>
      <c r="Q48" s="715">
        <f>ROUND(4900*Belarus*(1-N794),2)</f>
        <v>4900</v>
      </c>
      <c r="R48" s="715">
        <f>ROUND(4900*Belarus*(1-O794),2)</f>
        <v>4900</v>
      </c>
      <c r="S48" s="715">
        <f>ROUND(4900*Belarus*(1-P794),2)</f>
        <v>4900</v>
      </c>
      <c r="T48" s="113"/>
    </row>
    <row r="49" spans="1:19">
      <c r="A49" s="1874" t="s">
        <v>1176</v>
      </c>
      <c r="B49" s="1874"/>
      <c r="C49" s="1874"/>
      <c r="D49" s="1874"/>
      <c r="E49" s="1874"/>
      <c r="F49" s="1874"/>
      <c r="G49" s="1874"/>
      <c r="H49" s="1874"/>
      <c r="I49" s="1874"/>
      <c r="J49" s="1874"/>
      <c r="K49" s="1874"/>
      <c r="L49" s="1874"/>
      <c r="M49" s="1874"/>
      <c r="N49" s="1874"/>
      <c r="O49" s="1874"/>
      <c r="P49" s="1874"/>
      <c r="Q49" s="1874"/>
      <c r="R49" s="1874"/>
      <c r="S49" s="1874"/>
    </row>
    <row r="50" spans="1:19" ht="17.25" customHeight="1">
      <c r="A50" s="1868" t="s">
        <v>1179</v>
      </c>
      <c r="B50" s="1868"/>
      <c r="C50" s="707" t="s">
        <v>1180</v>
      </c>
      <c r="D50" s="78" t="s">
        <v>640</v>
      </c>
      <c r="E50" s="1056">
        <f>ROUND(1212*Belarus*(1-E74),2)</f>
        <v>1212</v>
      </c>
      <c r="F50" s="1056">
        <f>ROUND(1230*Belarus*(1-E74),2)</f>
        <v>1230</v>
      </c>
      <c r="G50" s="1056">
        <f>ROUND(1230*Belarus*(1-E74),2)</f>
        <v>1230</v>
      </c>
      <c r="H50" s="1056">
        <f>ROUND(1212*Belarus*(1-E74),2)</f>
        <v>1212</v>
      </c>
      <c r="I50" s="1056">
        <f>ROUND(1248*Belarus*(1-E74),2)</f>
        <v>1248</v>
      </c>
      <c r="K50" s="1868" t="s">
        <v>1198</v>
      </c>
      <c r="L50" s="1868"/>
      <c r="M50" s="81" t="s">
        <v>1183</v>
      </c>
      <c r="N50" s="78" t="s">
        <v>640</v>
      </c>
      <c r="O50" s="1056">
        <f>ROUND(1386*Belarus*(1-E74),2)</f>
        <v>1386</v>
      </c>
      <c r="P50" s="1056">
        <f>ROUND(1407*Belarus*(1-E74),2)</f>
        <v>1407</v>
      </c>
      <c r="Q50" s="1056">
        <f>ROUND(1407*Belarus*(1-E74),2)</f>
        <v>1407</v>
      </c>
      <c r="R50" s="1056">
        <f>ROUND(1386*Belarus*(1-E74),2)</f>
        <v>1386</v>
      </c>
      <c r="S50" s="1056">
        <f>ROUND(1428*Belarus*(1-E74),2)</f>
        <v>1428</v>
      </c>
    </row>
    <row r="51" spans="1:19" ht="17.25" customHeight="1">
      <c r="A51" s="1868" t="s">
        <v>1182</v>
      </c>
      <c r="B51" s="1868"/>
      <c r="C51" s="103" t="s">
        <v>1183</v>
      </c>
      <c r="D51" s="101" t="s">
        <v>640</v>
      </c>
      <c r="E51" s="235">
        <f>ROUND(1386*Belarus*(1-E74),2)</f>
        <v>1386</v>
      </c>
      <c r="F51" s="235">
        <f>ROUND(1407*Belarus*(1-E74),2)</f>
        <v>1407</v>
      </c>
      <c r="G51" s="235">
        <f>ROUND(1407*Belarus*(1-E74),2)</f>
        <v>1407</v>
      </c>
      <c r="H51" s="235">
        <f>ROUND(1386*Belarus*(1-E74),2)</f>
        <v>1386</v>
      </c>
      <c r="I51" s="235">
        <f>ROUND(1428*Belarus*(1-E74),2)</f>
        <v>1428</v>
      </c>
      <c r="K51" s="1868" t="s">
        <v>1200</v>
      </c>
      <c r="L51" s="1868"/>
      <c r="M51" s="103" t="s">
        <v>1183</v>
      </c>
      <c r="N51" s="101" t="s">
        <v>640</v>
      </c>
      <c r="O51" s="235">
        <f>ROUND(1386*Belarus*(1-E74),2)</f>
        <v>1386</v>
      </c>
      <c r="P51" s="235">
        <f>ROUND(1407*Belarus*(1-E74),2)</f>
        <v>1407</v>
      </c>
      <c r="Q51" s="235">
        <f>ROUND(1407*Belarus*(1-E74),2)</f>
        <v>1407</v>
      </c>
      <c r="R51" s="235">
        <f>ROUND(1386*Belarus*(1-E74),2)</f>
        <v>1386</v>
      </c>
      <c r="S51" s="235">
        <f>ROUND(1428*Belarus*(1-E74),2)</f>
        <v>1428</v>
      </c>
    </row>
    <row r="52" spans="1:19" ht="17.25" customHeight="1">
      <c r="A52" s="1868" t="s">
        <v>1186</v>
      </c>
      <c r="B52" s="1868"/>
      <c r="C52" s="103" t="s">
        <v>1183</v>
      </c>
      <c r="D52" s="101" t="s">
        <v>640</v>
      </c>
      <c r="E52" s="235">
        <f>ROUND(2425*Belarus*(1-E74),2)</f>
        <v>2425</v>
      </c>
      <c r="F52" s="235">
        <f>ROUND(2461*Belarus*(1-E74),2)</f>
        <v>2461</v>
      </c>
      <c r="G52" s="235">
        <f>ROUND(2461*Belarus*(1-E74),2)</f>
        <v>2461</v>
      </c>
      <c r="H52" s="235">
        <f>ROUND(2425*Belarus*(1-E74),2)</f>
        <v>2425</v>
      </c>
      <c r="I52" s="235">
        <f>ROUND(2498*Belarus*(1-E74),2)</f>
        <v>2498</v>
      </c>
      <c r="K52" s="1868" t="s">
        <v>1202</v>
      </c>
      <c r="L52" s="1868"/>
      <c r="M52" s="103" t="s">
        <v>1183</v>
      </c>
      <c r="N52" s="101" t="s">
        <v>640</v>
      </c>
      <c r="O52" s="235">
        <f>ROUND(935*Belarus*(1-E74),2)</f>
        <v>935</v>
      </c>
      <c r="P52" s="235">
        <f>ROUND(949*Belarus*(1-E74),2)</f>
        <v>949</v>
      </c>
      <c r="Q52" s="235">
        <f>ROUND(949*Belarus*(1-E74),2)</f>
        <v>949</v>
      </c>
      <c r="R52" s="235">
        <f>ROUND(935*Belarus*(1-E74),2)</f>
        <v>935</v>
      </c>
      <c r="S52" s="235">
        <f>ROUND(963*Belarus*(1-E74),2)</f>
        <v>963</v>
      </c>
    </row>
    <row r="53" spans="1:19" ht="17.25" customHeight="1">
      <c r="A53" s="1868" t="s">
        <v>1188</v>
      </c>
      <c r="B53" s="1868"/>
      <c r="C53" s="103" t="s">
        <v>1183</v>
      </c>
      <c r="D53" s="101" t="s">
        <v>640</v>
      </c>
      <c r="E53" s="235">
        <f>ROUND(861*Belarus*(1-E74),2)</f>
        <v>861</v>
      </c>
      <c r="F53" s="235">
        <f>ROUND(874*Belarus*(1-E74),2)</f>
        <v>874</v>
      </c>
      <c r="G53" s="235">
        <f>ROUND(874*Belarus*(1-E74),2)</f>
        <v>874</v>
      </c>
      <c r="H53" s="235">
        <f>ROUND(861*Belarus*(1-E74),2)</f>
        <v>861</v>
      </c>
      <c r="I53" s="235">
        <f>ROUND(887*Belarus*(1-E74),2)</f>
        <v>887</v>
      </c>
      <c r="K53" s="1868" t="s">
        <v>1203</v>
      </c>
      <c r="L53" s="1868"/>
      <c r="M53" s="43" t="s">
        <v>1204</v>
      </c>
      <c r="N53" s="101" t="s">
        <v>640</v>
      </c>
      <c r="O53" s="235">
        <f>ROUND(4849*Belarus*(1-E74),2)</f>
        <v>4849</v>
      </c>
      <c r="P53" s="235">
        <f>ROUND(4922*Belarus*(1-E74),2)</f>
        <v>4922</v>
      </c>
      <c r="Q53" s="235">
        <f>ROUND(4922*Belarus*(1-E74),2)</f>
        <v>4922</v>
      </c>
      <c r="R53" s="235">
        <f>ROUND(4849*Belarus*(1-E74),2)</f>
        <v>4849</v>
      </c>
      <c r="S53" s="235">
        <f>ROUND(4994*Belarus*(1-E74),2)</f>
        <v>4994</v>
      </c>
    </row>
    <row r="54" spans="1:19" ht="17.25" customHeight="1">
      <c r="A54" s="1868" t="s">
        <v>1191</v>
      </c>
      <c r="B54" s="1868"/>
      <c r="C54" s="103" t="s">
        <v>1183</v>
      </c>
      <c r="D54" s="101" t="s">
        <v>640</v>
      </c>
      <c r="E54" s="235">
        <f>ROUND(866*Belarus*(1-E74),2)</f>
        <v>866</v>
      </c>
      <c r="F54" s="235">
        <f>ROUND(879*Belarus*(1-E74),2)</f>
        <v>879</v>
      </c>
      <c r="G54" s="235">
        <f>ROUND(879*Belarus*(1-E74),2)</f>
        <v>879</v>
      </c>
      <c r="H54" s="235">
        <f>ROUND(866*Belarus*(1-E74),2)</f>
        <v>866</v>
      </c>
      <c r="I54" s="235">
        <f>ROUND(892*Belarus*(1-E74),2)</f>
        <v>892</v>
      </c>
      <c r="K54" s="1868" t="s">
        <v>1205</v>
      </c>
      <c r="L54" s="1868"/>
      <c r="M54" s="43" t="s">
        <v>1190</v>
      </c>
      <c r="N54" s="101" t="s">
        <v>640</v>
      </c>
      <c r="O54" s="235">
        <f>ROUND(433*Belarus*(1-E74),2)</f>
        <v>433</v>
      </c>
      <c r="P54" s="235">
        <f>ROUND(439*Belarus*(1-E74),2)</f>
        <v>439</v>
      </c>
      <c r="Q54" s="235">
        <f>ROUND(439*Belarus*(1-E74),2)</f>
        <v>439</v>
      </c>
      <c r="R54" s="235">
        <f>ROUND(433*Belarus*(1-E74),2)</f>
        <v>433</v>
      </c>
      <c r="S54" s="235">
        <f>ROUND(446*Belarus*(1-E74),2)</f>
        <v>446</v>
      </c>
    </row>
    <row r="55" spans="1:19" ht="17.25" customHeight="1">
      <c r="A55" s="1868" t="s">
        <v>1193</v>
      </c>
      <c r="B55" s="1868"/>
      <c r="C55" s="103" t="s">
        <v>1183</v>
      </c>
      <c r="D55" s="101" t="s">
        <v>640</v>
      </c>
      <c r="E55" s="235">
        <f>ROUND(1386*Belarus*(1-E74),2)</f>
        <v>1386</v>
      </c>
      <c r="F55" s="235">
        <f>ROUND(1407*Belarus*(1-E74),2)</f>
        <v>1407</v>
      </c>
      <c r="G55" s="235">
        <f>ROUND(1407*Belarus*(1-E74),2)</f>
        <v>1407</v>
      </c>
      <c r="H55" s="235">
        <f>ROUND(1386*Belarus*(1-E74),2)</f>
        <v>1386</v>
      </c>
      <c r="I55" s="235">
        <f>ROUND(1428*Belarus*(1-E74),2)</f>
        <v>1428</v>
      </c>
      <c r="K55" s="1868" t="s">
        <v>1206</v>
      </c>
      <c r="L55" s="1868"/>
      <c r="M55" s="43" t="s">
        <v>1207</v>
      </c>
      <c r="N55" s="101" t="s">
        <v>640</v>
      </c>
      <c r="O55" s="235">
        <f>ROUND(7968*Belarus*(1-E74),2)</f>
        <v>7968</v>
      </c>
      <c r="P55" s="235">
        <f>ROUND(8088*Belarus*(1-E74),2)</f>
        <v>8088</v>
      </c>
      <c r="Q55" s="235">
        <f>ROUND(8088*Belarus*(1-E74),2)</f>
        <v>8088</v>
      </c>
      <c r="R55" s="235">
        <f>ROUND(7968*Belarus*(1-E74),2)</f>
        <v>7968</v>
      </c>
      <c r="S55" s="235">
        <f>ROUND(8207*Belarus*(1-E74),2)</f>
        <v>8207</v>
      </c>
    </row>
    <row r="56" spans="1:19" ht="17.25" customHeight="1">
      <c r="A56" s="1351" t="s">
        <v>1195</v>
      </c>
      <c r="B56" s="1351"/>
      <c r="C56" s="103" t="s">
        <v>1183</v>
      </c>
      <c r="D56" s="101" t="s">
        <v>640</v>
      </c>
      <c r="E56" s="235">
        <f>ROUND(1386*Belarus*(1-E74),2)</f>
        <v>1386</v>
      </c>
      <c r="F56" s="235">
        <f>ROUND(1407*Belarus*(1-E74),2)</f>
        <v>1407</v>
      </c>
      <c r="G56" s="235">
        <f>ROUND(1407*Belarus*(1-E74),2)</f>
        <v>1407</v>
      </c>
      <c r="H56" s="235">
        <f>ROUND(1386*Belarus*(1-E74),2)</f>
        <v>1386</v>
      </c>
      <c r="I56" s="235">
        <f>ROUND(1428*Belarus*(1-E74),2)</f>
        <v>1428</v>
      </c>
      <c r="K56" s="1351" t="s">
        <v>1209</v>
      </c>
      <c r="L56" s="1351"/>
      <c r="M56" s="43" t="s">
        <v>1207</v>
      </c>
      <c r="N56" s="101" t="s">
        <v>640</v>
      </c>
      <c r="O56" s="235">
        <f>ROUND(7968*Belarus*(1-E74),2)</f>
        <v>7968</v>
      </c>
      <c r="P56" s="235">
        <f>ROUND(8088*Belarus*(1-E74),2)</f>
        <v>8088</v>
      </c>
      <c r="Q56" s="235">
        <f>ROUND(8088*Belarus*(1-E74),2)</f>
        <v>8088</v>
      </c>
      <c r="R56" s="235">
        <f>ROUND(7968*Belarus*(1-E74),2)</f>
        <v>7968</v>
      </c>
      <c r="S56" s="235">
        <f>ROUND(8207*Belarus*(1-E74),2)</f>
        <v>8207</v>
      </c>
    </row>
    <row r="57" spans="1:19">
      <c r="K57" s="1479" t="s">
        <v>1219</v>
      </c>
      <c r="L57" s="1517"/>
      <c r="M57" s="1517"/>
      <c r="N57" s="1517"/>
      <c r="O57" s="1517"/>
      <c r="P57" s="1517"/>
      <c r="Q57" s="1517"/>
      <c r="R57" s="1517"/>
      <c r="S57" s="1480"/>
    </row>
    <row r="58" spans="1:19" ht="18.75" customHeight="1">
      <c r="A58" s="1902" t="s">
        <v>3619</v>
      </c>
      <c r="B58" s="1902"/>
      <c r="C58" s="1902"/>
      <c r="D58" s="1902"/>
      <c r="E58" s="1902"/>
      <c r="F58" s="1902"/>
      <c r="G58" s="1902"/>
      <c r="H58" s="1902"/>
      <c r="I58" s="1902"/>
      <c r="K58" s="1332" t="s">
        <v>3577</v>
      </c>
      <c r="L58" s="1332"/>
      <c r="M58" s="1332"/>
      <c r="N58" s="1332"/>
      <c r="O58" s="1332"/>
      <c r="P58" s="1332"/>
      <c r="Q58" s="1332"/>
      <c r="R58" s="1332"/>
      <c r="S58" s="1332"/>
    </row>
    <row r="59" spans="1:19" ht="27.75" customHeight="1">
      <c r="A59" s="1409" t="s">
        <v>6926</v>
      </c>
      <c r="B59" s="1410"/>
      <c r="C59" s="1411"/>
      <c r="D59" s="101" t="s">
        <v>640</v>
      </c>
      <c r="E59" s="1761">
        <f>ROUND(7630*Belarus*(1-H74),2)</f>
        <v>7630</v>
      </c>
      <c r="F59" s="1761"/>
      <c r="G59" s="1761"/>
      <c r="H59" s="1761"/>
      <c r="I59" s="1761"/>
      <c r="K59" s="1332" t="s">
        <v>3693</v>
      </c>
      <c r="L59" s="1332"/>
      <c r="M59" s="1332"/>
      <c r="N59" s="1332"/>
      <c r="O59" s="1332"/>
      <c r="P59" s="1332"/>
      <c r="Q59" s="1332"/>
      <c r="R59" s="1332"/>
      <c r="S59" s="1332"/>
    </row>
    <row r="60" spans="1:19" ht="42.75" customHeight="1">
      <c r="A60" s="1409" t="s">
        <v>1100</v>
      </c>
      <c r="B60" s="1410"/>
      <c r="C60" s="1411"/>
      <c r="D60" s="101" t="s">
        <v>640</v>
      </c>
      <c r="E60" s="1761">
        <f>ROUND(9700*Belarus*(1-H74),2)</f>
        <v>9700</v>
      </c>
      <c r="F60" s="1761"/>
      <c r="G60" s="1761"/>
      <c r="H60" s="1761"/>
      <c r="I60" s="1761"/>
      <c r="K60" s="1332" t="s">
        <v>3578</v>
      </c>
      <c r="L60" s="1332"/>
      <c r="M60" s="1332"/>
      <c r="N60" s="1332"/>
      <c r="O60" s="1332"/>
      <c r="P60" s="1332"/>
      <c r="Q60" s="1332"/>
      <c r="R60" s="1332"/>
      <c r="S60" s="1332"/>
    </row>
    <row r="61" spans="1:19" ht="15" customHeight="1">
      <c r="A61" s="1409" t="s">
        <v>794</v>
      </c>
      <c r="B61" s="1410"/>
      <c r="C61" s="1411"/>
      <c r="D61" s="101" t="s">
        <v>640</v>
      </c>
      <c r="E61" s="1761">
        <f>ROUND(4290*Belarus*(1-H74),2)</f>
        <v>4290</v>
      </c>
      <c r="F61" s="1761"/>
      <c r="G61" s="1761"/>
      <c r="H61" s="1761"/>
      <c r="I61" s="1761"/>
      <c r="K61" s="1332" t="s">
        <v>3579</v>
      </c>
      <c r="L61" s="1332"/>
      <c r="M61" s="1332"/>
      <c r="N61" s="1332"/>
      <c r="O61" s="1332"/>
      <c r="P61" s="1332"/>
      <c r="Q61" s="1332"/>
      <c r="R61" s="1332"/>
      <c r="S61" s="1332"/>
    </row>
    <row r="62" spans="1:19" ht="15.75" customHeight="1">
      <c r="A62" s="1409" t="s">
        <v>1217</v>
      </c>
      <c r="B62" s="1410"/>
      <c r="C62" s="1411"/>
      <c r="D62" s="101" t="s">
        <v>640</v>
      </c>
      <c r="E62" s="1761">
        <f>ROUND(2468*Belarus*(1-H74),2)</f>
        <v>2468</v>
      </c>
      <c r="F62" s="1761"/>
      <c r="G62" s="1761"/>
      <c r="H62" s="1761"/>
      <c r="I62" s="1761"/>
      <c r="K62" s="1332" t="s">
        <v>3580</v>
      </c>
      <c r="L62" s="1332"/>
      <c r="M62" s="1332"/>
      <c r="N62" s="1332"/>
      <c r="O62" s="1332"/>
      <c r="P62" s="1332"/>
      <c r="Q62" s="1332"/>
      <c r="R62" s="1332"/>
      <c r="S62" s="1332"/>
    </row>
    <row r="63" spans="1:19" ht="12.75" customHeight="1">
      <c r="B63" s="52"/>
      <c r="C63" s="52"/>
      <c r="K63" s="1332" t="s">
        <v>1220</v>
      </c>
      <c r="L63" s="1332"/>
      <c r="M63" s="1332"/>
      <c r="N63" s="1332"/>
      <c r="O63" s="1332"/>
      <c r="P63" s="1332"/>
      <c r="Q63" s="1332"/>
      <c r="R63" s="1332"/>
      <c r="S63" s="1332"/>
    </row>
    <row r="64" spans="1:19" ht="29.25" customHeight="1">
      <c r="B64" s="52"/>
      <c r="C64" s="52"/>
      <c r="K64" s="53"/>
      <c r="L64" s="53"/>
      <c r="M64" s="53"/>
      <c r="N64" s="53"/>
      <c r="O64" s="53"/>
      <c r="P64" s="53"/>
      <c r="Q64" s="53"/>
      <c r="R64" s="53"/>
      <c r="S64" s="53"/>
    </row>
    <row r="73" spans="1:12" ht="28.5" customHeight="1">
      <c r="A73" s="1595" t="s">
        <v>508</v>
      </c>
      <c r="B73" s="141" t="s">
        <v>1221</v>
      </c>
      <c r="C73" s="1339" t="s">
        <v>1222</v>
      </c>
      <c r="D73" s="1339"/>
      <c r="E73" s="1339" t="s">
        <v>1223</v>
      </c>
      <c r="F73" s="1339"/>
      <c r="G73" s="1339"/>
      <c r="H73" s="1339" t="s">
        <v>152</v>
      </c>
      <c r="I73" s="1339"/>
      <c r="J73" s="1339" t="s">
        <v>30</v>
      </c>
      <c r="K73" s="1339"/>
      <c r="L73" s="141" t="s">
        <v>1224</v>
      </c>
    </row>
    <row r="74" spans="1:12">
      <c r="A74" s="1595"/>
      <c r="B74" s="129">
        <v>0</v>
      </c>
      <c r="C74" s="1331">
        <v>0</v>
      </c>
      <c r="D74" s="1331"/>
      <c r="E74" s="1331">
        <v>0</v>
      </c>
      <c r="F74" s="1331"/>
      <c r="G74" s="1331"/>
      <c r="H74" s="1331">
        <v>0</v>
      </c>
      <c r="I74" s="1331"/>
      <c r="J74" s="1331">
        <v>0</v>
      </c>
      <c r="K74" s="1331"/>
      <c r="L74" s="129">
        <v>0</v>
      </c>
    </row>
  </sheetData>
  <mergeCells count="137">
    <mergeCell ref="J74:K74"/>
    <mergeCell ref="A62:C62"/>
    <mergeCell ref="E62:I62"/>
    <mergeCell ref="K62:S62"/>
    <mergeCell ref="K63:S63"/>
    <mergeCell ref="A73:A74"/>
    <mergeCell ref="C73:D73"/>
    <mergeCell ref="E73:G73"/>
    <mergeCell ref="H73:I73"/>
    <mergeCell ref="J73:K73"/>
    <mergeCell ref="C74:D74"/>
    <mergeCell ref="A60:C60"/>
    <mergeCell ref="E60:I60"/>
    <mergeCell ref="K60:S60"/>
    <mergeCell ref="A61:C61"/>
    <mergeCell ref="E61:I61"/>
    <mergeCell ref="K61:S61"/>
    <mergeCell ref="E74:G74"/>
    <mergeCell ref="H74:I74"/>
    <mergeCell ref="A56:B56"/>
    <mergeCell ref="K56:L56"/>
    <mergeCell ref="K57:S57"/>
    <mergeCell ref="A58:I58"/>
    <mergeCell ref="K58:S58"/>
    <mergeCell ref="A59:C59"/>
    <mergeCell ref="E59:I59"/>
    <mergeCell ref="K59:S59"/>
    <mergeCell ref="A53:B53"/>
    <mergeCell ref="K53:L53"/>
    <mergeCell ref="A54:B54"/>
    <mergeCell ref="K54:L54"/>
    <mergeCell ref="A55:B55"/>
    <mergeCell ref="K55:L55"/>
    <mergeCell ref="A50:B50"/>
    <mergeCell ref="K50:L50"/>
    <mergeCell ref="A51:B51"/>
    <mergeCell ref="K51:L51"/>
    <mergeCell ref="A52:B52"/>
    <mergeCell ref="K52:L52"/>
    <mergeCell ref="A47:B47"/>
    <mergeCell ref="C47:C48"/>
    <mergeCell ref="K47:L47"/>
    <mergeCell ref="A48:B48"/>
    <mergeCell ref="K48:L48"/>
    <mergeCell ref="A49:S49"/>
    <mergeCell ref="A43:B43"/>
    <mergeCell ref="K43:L43"/>
    <mergeCell ref="A44:B44"/>
    <mergeCell ref="K44:L44"/>
    <mergeCell ref="A45:B45"/>
    <mergeCell ref="C45:C46"/>
    <mergeCell ref="K45:L45"/>
    <mergeCell ref="A46:B46"/>
    <mergeCell ref="K46:L46"/>
    <mergeCell ref="A40:B40"/>
    <mergeCell ref="K40:L40"/>
    <mergeCell ref="A41:B42"/>
    <mergeCell ref="C41:C42"/>
    <mergeCell ref="D41:D42"/>
    <mergeCell ref="E41:I42"/>
    <mergeCell ref="K41:L41"/>
    <mergeCell ref="K42:L42"/>
    <mergeCell ref="A36:B36"/>
    <mergeCell ref="K36:L36"/>
    <mergeCell ref="A37:B37"/>
    <mergeCell ref="K37:L37"/>
    <mergeCell ref="A38:B38"/>
    <mergeCell ref="C38:C39"/>
    <mergeCell ref="K38:L38"/>
    <mergeCell ref="A39:B39"/>
    <mergeCell ref="K39:L39"/>
    <mergeCell ref="A32:B32"/>
    <mergeCell ref="K32:L32"/>
    <mergeCell ref="M32:M33"/>
    <mergeCell ref="A33:B33"/>
    <mergeCell ref="K33:L33"/>
    <mergeCell ref="A34:B34"/>
    <mergeCell ref="K34:L34"/>
    <mergeCell ref="M34:M35"/>
    <mergeCell ref="A35:B35"/>
    <mergeCell ref="K35:L35"/>
    <mergeCell ref="N26:N27"/>
    <mergeCell ref="O26:S26"/>
    <mergeCell ref="A28:S28"/>
    <mergeCell ref="A29:B29"/>
    <mergeCell ref="K29:L29"/>
    <mergeCell ref="A30:B30"/>
    <mergeCell ref="K30:L30"/>
    <mergeCell ref="M30:M31"/>
    <mergeCell ref="A31:B31"/>
    <mergeCell ref="K31:L31"/>
    <mergeCell ref="M21:M24"/>
    <mergeCell ref="L23:L24"/>
    <mergeCell ref="A26:A27"/>
    <mergeCell ref="B26:B27"/>
    <mergeCell ref="C26:C27"/>
    <mergeCell ref="D26:D27"/>
    <mergeCell ref="E26:I26"/>
    <mergeCell ref="K26:K27"/>
    <mergeCell ref="L26:L27"/>
    <mergeCell ref="M26:M27"/>
    <mergeCell ref="L17:L18"/>
    <mergeCell ref="B19:B20"/>
    <mergeCell ref="L19:L20"/>
    <mergeCell ref="B21:B22"/>
    <mergeCell ref="K21:K24"/>
    <mergeCell ref="L21:L22"/>
    <mergeCell ref="L9:L10"/>
    <mergeCell ref="B11:B12"/>
    <mergeCell ref="K11:K20"/>
    <mergeCell ref="L11:L12"/>
    <mergeCell ref="M11:M20"/>
    <mergeCell ref="B13:B14"/>
    <mergeCell ref="L13:L14"/>
    <mergeCell ref="B15:B16"/>
    <mergeCell ref="L15:L16"/>
    <mergeCell ref="B17:B18"/>
    <mergeCell ref="N4:N5"/>
    <mergeCell ref="O4:S4"/>
    <mergeCell ref="A6:S6"/>
    <mergeCell ref="A7:A22"/>
    <mergeCell ref="B7:B8"/>
    <mergeCell ref="C7:C22"/>
    <mergeCell ref="K7:K10"/>
    <mergeCell ref="L7:L8"/>
    <mergeCell ref="M7:M10"/>
    <mergeCell ref="B9:B10"/>
    <mergeCell ref="A1:C1"/>
    <mergeCell ref="A2:O2"/>
    <mergeCell ref="A4:A5"/>
    <mergeCell ref="B4:B5"/>
    <mergeCell ref="C4:C5"/>
    <mergeCell ref="D4:D5"/>
    <mergeCell ref="E4:I4"/>
    <mergeCell ref="K4:K5"/>
    <mergeCell ref="L4:L5"/>
    <mergeCell ref="M4:M5"/>
  </mergeCells>
  <hyperlinks>
    <hyperlink ref="A1" location="Содержание прайса!A1" display="Вернуться в начало"/>
    <hyperlink ref="A1:C1" location="'Содержание прайса'!A1" display="Вернуться в начало"/>
  </hyperlinks>
  <printOptions horizontalCentered="1"/>
  <pageMargins left="0" right="0" top="0.47244094488188981" bottom="0" header="0" footer="0"/>
  <pageSetup paperSize="9" scale="49" orientation="landscape" horizontalDpi="300" verticalDpi="300" r:id="rId1"/>
  <headerFooter scaleWithDoc="0">
    <oddHeader xml:space="preserve">&amp;L&amp;G&amp;R&amp;5Центр поддержки клиентов Grand Line: +7 (495) 748-38-38
cайт: www.grandline.ru   </oddHeader>
    <oddFooter>&amp;R&amp;5Страница 11</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P41"/>
  <sheetViews>
    <sheetView zoomScale="70" zoomScaleNormal="70" zoomScaleSheetLayoutView="40" workbookViewId="0">
      <selection activeCell="A2" sqref="A2:P2"/>
    </sheetView>
  </sheetViews>
  <sheetFormatPr defaultRowHeight="12.75"/>
  <cols>
    <col min="1" max="1" width="24.140625" style="46" customWidth="1"/>
    <col min="2" max="2" width="28.28515625" style="54" customWidth="1"/>
    <col min="3" max="3" width="25.85546875" style="46" customWidth="1"/>
    <col min="4" max="4" width="15.28515625" style="46" customWidth="1"/>
    <col min="5" max="5" width="6" style="46" customWidth="1"/>
    <col min="6" max="6" width="8.5703125" style="46" customWidth="1"/>
    <col min="7" max="7" width="9.85546875" style="46" customWidth="1"/>
    <col min="8" max="8" width="7.140625" style="46" customWidth="1"/>
    <col min="9" max="9" width="23.28515625" style="46" customWidth="1"/>
    <col min="10" max="10" width="27.42578125" style="46" customWidth="1"/>
    <col min="11" max="11" width="27.5703125" style="46" customWidth="1"/>
    <col min="12" max="12" width="15.5703125" style="46" customWidth="1"/>
    <col min="13" max="13" width="6" style="46" customWidth="1"/>
    <col min="14" max="14" width="9.42578125" style="46" customWidth="1"/>
    <col min="15" max="16384" width="9.140625" style="46"/>
  </cols>
  <sheetData>
    <row r="1" spans="1:14">
      <c r="A1" s="1903" t="s">
        <v>312</v>
      </c>
      <c r="B1" s="1903"/>
      <c r="C1" s="1903"/>
      <c r="D1" s="1903"/>
      <c r="E1" s="275"/>
      <c r="F1" s="275"/>
      <c r="G1" s="275"/>
      <c r="H1" s="275"/>
      <c r="I1" s="275"/>
      <c r="J1" s="54"/>
      <c r="M1" s="30"/>
      <c r="N1" s="30"/>
    </row>
    <row r="2" spans="1:14" ht="18.75" thickBot="1">
      <c r="A2" s="1851" t="s">
        <v>100</v>
      </c>
      <c r="B2" s="1851"/>
      <c r="C2" s="1851"/>
      <c r="D2" s="1851"/>
      <c r="E2" s="1851"/>
      <c r="F2" s="1851"/>
      <c r="G2" s="1851"/>
      <c r="H2" s="1851"/>
      <c r="I2" s="1851"/>
      <c r="J2" s="1851"/>
      <c r="K2" s="741"/>
      <c r="L2" s="734" t="s">
        <v>313</v>
      </c>
      <c r="M2" s="1483">
        <v>43304</v>
      </c>
      <c r="N2" s="1483"/>
    </row>
    <row r="3" spans="1:14">
      <c r="A3" s="276"/>
      <c r="B3" s="277"/>
      <c r="C3" s="277"/>
      <c r="D3" s="277"/>
      <c r="E3" s="277"/>
      <c r="F3" s="277"/>
      <c r="G3" s="164"/>
      <c r="I3" s="276"/>
      <c r="J3" s="277"/>
      <c r="K3" s="277"/>
      <c r="L3" s="278" t="s">
        <v>804</v>
      </c>
      <c r="M3" s="1853">
        <v>43301</v>
      </c>
      <c r="N3" s="1853"/>
    </row>
    <row r="4" spans="1:14" ht="12.75" customHeight="1">
      <c r="A4" s="1388" t="s">
        <v>1071</v>
      </c>
      <c r="B4" s="1501" t="s">
        <v>1072</v>
      </c>
      <c r="C4" s="1502"/>
      <c r="D4" s="1388" t="s">
        <v>1073</v>
      </c>
      <c r="E4" s="1388" t="s">
        <v>622</v>
      </c>
      <c r="F4" s="1501" t="s">
        <v>559</v>
      </c>
      <c r="G4" s="1388" t="s">
        <v>527</v>
      </c>
      <c r="I4" s="1388" t="s">
        <v>1071</v>
      </c>
      <c r="J4" s="1501" t="s">
        <v>1072</v>
      </c>
      <c r="K4" s="1502"/>
      <c r="L4" s="1388" t="s">
        <v>1073</v>
      </c>
      <c r="M4" s="1388" t="s">
        <v>622</v>
      </c>
      <c r="N4" s="1388" t="s">
        <v>559</v>
      </c>
    </row>
    <row r="5" spans="1:14">
      <c r="A5" s="1388"/>
      <c r="B5" s="1503"/>
      <c r="C5" s="1504"/>
      <c r="D5" s="1388"/>
      <c r="E5" s="1388"/>
      <c r="F5" s="1503"/>
      <c r="G5" s="1388"/>
      <c r="I5" s="1388"/>
      <c r="J5" s="1503"/>
      <c r="K5" s="1504"/>
      <c r="L5" s="1388"/>
      <c r="M5" s="1388"/>
      <c r="N5" s="1388"/>
    </row>
    <row r="6" spans="1:14" ht="15.75" customHeight="1">
      <c r="A6" s="1904" t="s">
        <v>1074</v>
      </c>
      <c r="B6" s="1905"/>
      <c r="C6" s="1905"/>
      <c r="D6" s="1905"/>
      <c r="E6" s="1906"/>
      <c r="F6" s="1285"/>
      <c r="G6" s="1285"/>
      <c r="I6" s="1907"/>
      <c r="J6" s="1910" t="s">
        <v>1225</v>
      </c>
      <c r="K6" s="1911"/>
      <c r="L6" s="1891" t="s">
        <v>1226</v>
      </c>
      <c r="M6" s="1765" t="s">
        <v>640</v>
      </c>
      <c r="N6" s="1765">
        <f>ROUND(5184.18*Belarus*(1-C$41),2)</f>
        <v>5184.18</v>
      </c>
    </row>
    <row r="7" spans="1:14" ht="26.25" customHeight="1">
      <c r="A7" s="1907"/>
      <c r="B7" s="1418" t="s">
        <v>1227</v>
      </c>
      <c r="C7" s="1420"/>
      <c r="D7" s="1765" t="s">
        <v>1228</v>
      </c>
      <c r="E7" s="1766" t="s">
        <v>845</v>
      </c>
      <c r="F7" s="1189">
        <f>ROUND(610.31*Belarus*(1-B$41),2)</f>
        <v>610.30999999999995</v>
      </c>
      <c r="G7" s="1189">
        <f>F7/0.56</f>
        <v>1089.8392857142856</v>
      </c>
      <c r="H7" s="96"/>
      <c r="I7" s="1908"/>
      <c r="J7" s="1912"/>
      <c r="K7" s="1913"/>
      <c r="L7" s="1892"/>
      <c r="M7" s="1455"/>
      <c r="N7" s="1455"/>
    </row>
    <row r="8" spans="1:14" ht="24.75" customHeight="1">
      <c r="A8" s="1909"/>
      <c r="B8" s="1418" t="s">
        <v>6855</v>
      </c>
      <c r="C8" s="1420"/>
      <c r="D8" s="1456"/>
      <c r="E8" s="1443"/>
      <c r="F8" s="1189">
        <f>ROUND(484*Belarus*(1-B$41),2)</f>
        <v>484</v>
      </c>
      <c r="G8" s="1189">
        <f>F8/0.56</f>
        <v>864.28571428571422</v>
      </c>
      <c r="H8" s="96"/>
      <c r="I8" s="1909"/>
      <c r="J8" s="1914"/>
      <c r="K8" s="1915"/>
      <c r="L8" s="1893"/>
      <c r="M8" s="1456"/>
      <c r="N8" s="1456"/>
    </row>
    <row r="9" spans="1:14" ht="51.75" customHeight="1">
      <c r="A9" s="1618"/>
      <c r="B9" s="1418" t="s">
        <v>1229</v>
      </c>
      <c r="C9" s="1420"/>
      <c r="D9" s="1765" t="s">
        <v>1230</v>
      </c>
      <c r="E9" s="1766" t="s">
        <v>845</v>
      </c>
      <c r="F9" s="1189">
        <f>ROUND(637.74*Belarus*(1-B$41),2)</f>
        <v>637.74</v>
      </c>
      <c r="G9" s="1189">
        <f>F9/0.57</f>
        <v>1118.8421052631579</v>
      </c>
      <c r="H9" s="96"/>
      <c r="I9" s="294"/>
      <c r="J9" s="295" t="s">
        <v>1231</v>
      </c>
      <c r="K9" s="296"/>
      <c r="L9" s="291" t="s">
        <v>1226</v>
      </c>
      <c r="M9" s="64" t="s">
        <v>640</v>
      </c>
      <c r="N9" s="64">
        <f>ROUND(5184.18*Belarus*(1-C$41),2)</f>
        <v>5184.18</v>
      </c>
    </row>
    <row r="10" spans="1:14" ht="24.75" customHeight="1">
      <c r="A10" s="1618"/>
      <c r="B10" s="1418" t="s">
        <v>6856</v>
      </c>
      <c r="C10" s="1420"/>
      <c r="D10" s="1456"/>
      <c r="E10" s="1443"/>
      <c r="F10" s="1189">
        <f>ROUND(494*Belarus*(1-B$41),2)</f>
        <v>494</v>
      </c>
      <c r="G10" s="1189">
        <f>F10/0.57</f>
        <v>866.66666666666674</v>
      </c>
      <c r="H10" s="96"/>
      <c r="I10" s="1462" t="s">
        <v>1232</v>
      </c>
      <c r="J10" s="1463"/>
      <c r="K10" s="1463"/>
      <c r="L10" s="1463"/>
      <c r="M10" s="1463"/>
      <c r="N10" s="1464"/>
    </row>
    <row r="11" spans="1:14" ht="20.25" customHeight="1">
      <c r="A11" s="1904" t="s">
        <v>1233</v>
      </c>
      <c r="B11" s="1905"/>
      <c r="C11" s="1905"/>
      <c r="D11" s="1905"/>
      <c r="E11" s="1906"/>
      <c r="F11" s="1916" t="s">
        <v>559</v>
      </c>
      <c r="G11" s="1917"/>
      <c r="I11" s="1907"/>
      <c r="J11" s="1351" t="s">
        <v>1234</v>
      </c>
      <c r="K11" s="1351"/>
      <c r="L11" s="1530" t="s">
        <v>1235</v>
      </c>
      <c r="M11" s="1386" t="s">
        <v>640</v>
      </c>
      <c r="N11" s="1285">
        <f>ROUND(3458.58*Belarus*(1-C$41),2)</f>
        <v>3458.58</v>
      </c>
    </row>
    <row r="12" spans="1:14" s="96" customFormat="1" ht="27" customHeight="1">
      <c r="A12" s="1907"/>
      <c r="B12" s="1409" t="s">
        <v>1236</v>
      </c>
      <c r="C12" s="1411"/>
      <c r="D12" s="103" t="s">
        <v>1237</v>
      </c>
      <c r="E12" s="101" t="s">
        <v>640</v>
      </c>
      <c r="F12" s="1540">
        <f>ROUND(912.04*Belarus*(1-C$41),2)</f>
        <v>912.04</v>
      </c>
      <c r="G12" s="1541"/>
      <c r="I12" s="1909"/>
      <c r="J12" s="1351"/>
      <c r="K12" s="1351"/>
      <c r="L12" s="1530"/>
      <c r="M12" s="1386"/>
      <c r="N12" s="1285"/>
    </row>
    <row r="13" spans="1:14" s="96" customFormat="1" ht="24" customHeight="1">
      <c r="A13" s="1909"/>
      <c r="B13" s="1409" t="s">
        <v>1238</v>
      </c>
      <c r="C13" s="1411"/>
      <c r="D13" s="103" t="s">
        <v>1239</v>
      </c>
      <c r="E13" s="101" t="s">
        <v>640</v>
      </c>
      <c r="F13" s="1540">
        <f>ROUND(1219.24*Belarus*(1-C$41),2)</f>
        <v>1219.24</v>
      </c>
      <c r="G13" s="1541"/>
      <c r="I13" s="1907"/>
      <c r="J13" s="1351" t="s">
        <v>1240</v>
      </c>
      <c r="K13" s="1351"/>
      <c r="L13" s="1530" t="s">
        <v>1241</v>
      </c>
      <c r="M13" s="1386" t="s">
        <v>640</v>
      </c>
      <c r="N13" s="1285">
        <f>ROUND(9011.97*Belarus*(1-C$41),2)</f>
        <v>9011.9699999999993</v>
      </c>
    </row>
    <row r="14" spans="1:14" s="96" customFormat="1" ht="28.5" customHeight="1">
      <c r="A14" s="1907"/>
      <c r="B14" s="1409" t="s">
        <v>1242</v>
      </c>
      <c r="C14" s="1411"/>
      <c r="D14" s="103" t="s">
        <v>1243</v>
      </c>
      <c r="E14" s="101" t="s">
        <v>640</v>
      </c>
      <c r="F14" s="1540">
        <f>ROUND(672.02*Belarus*(1-C$41),2)</f>
        <v>672.02</v>
      </c>
      <c r="G14" s="1541"/>
      <c r="I14" s="1908"/>
      <c r="J14" s="1351"/>
      <c r="K14" s="1351"/>
      <c r="L14" s="1530"/>
      <c r="M14" s="1386"/>
      <c r="N14" s="1285"/>
    </row>
    <row r="15" spans="1:14" s="96" customFormat="1" ht="28.5" customHeight="1">
      <c r="A15" s="1909"/>
      <c r="B15" s="1409" t="s">
        <v>1244</v>
      </c>
      <c r="C15" s="1411"/>
      <c r="D15" s="103" t="s">
        <v>1245</v>
      </c>
      <c r="E15" s="101" t="s">
        <v>640</v>
      </c>
      <c r="F15" s="1540">
        <f>ROUND(393.62*Belarus*(1-C$41),2)</f>
        <v>393.62</v>
      </c>
      <c r="G15" s="1541"/>
      <c r="I15" s="1909"/>
      <c r="J15" s="1409" t="s">
        <v>1246</v>
      </c>
      <c r="K15" s="1411"/>
      <c r="L15" s="103" t="s">
        <v>1183</v>
      </c>
      <c r="M15" s="101" t="s">
        <v>640</v>
      </c>
      <c r="N15" s="219">
        <f>ROUND(1891.08*Belarus*(1-C$41),2)</f>
        <v>1891.08</v>
      </c>
    </row>
    <row r="16" spans="1:14" s="96" customFormat="1" ht="42" customHeight="1">
      <c r="A16" s="280"/>
      <c r="B16" s="1409" t="s">
        <v>1247</v>
      </c>
      <c r="C16" s="1411"/>
      <c r="D16" s="103" t="s">
        <v>1183</v>
      </c>
      <c r="E16" s="101" t="s">
        <v>640</v>
      </c>
      <c r="F16" s="1540">
        <f>ROUND(908.19*Belarus*(1-C$41),2)</f>
        <v>908.19</v>
      </c>
      <c r="G16" s="1541"/>
      <c r="I16" s="1907"/>
      <c r="J16" s="1409" t="s">
        <v>1248</v>
      </c>
      <c r="K16" s="1411"/>
      <c r="L16" s="103" t="s">
        <v>1249</v>
      </c>
      <c r="M16" s="101" t="s">
        <v>640</v>
      </c>
      <c r="N16" s="219">
        <f>ROUND(3822.9*Belarus*(1-C$41),2)</f>
        <v>3822.9</v>
      </c>
    </row>
    <row r="17" spans="1:16" s="96" customFormat="1" ht="50.25" customHeight="1">
      <c r="A17" s="280"/>
      <c r="B17" s="1409" t="s">
        <v>1250</v>
      </c>
      <c r="C17" s="1411"/>
      <c r="D17" s="103" t="s">
        <v>1183</v>
      </c>
      <c r="E17" s="101" t="s">
        <v>640</v>
      </c>
      <c r="F17" s="1540">
        <f>ROUND(1319.1*Belarus*(1-C$41),2)</f>
        <v>1319.1</v>
      </c>
      <c r="G17" s="1541"/>
      <c r="I17" s="1909"/>
      <c r="J17" s="1409" t="s">
        <v>1251</v>
      </c>
      <c r="K17" s="1411"/>
      <c r="L17" s="103" t="s">
        <v>1252</v>
      </c>
      <c r="M17" s="101" t="s">
        <v>640</v>
      </c>
      <c r="N17" s="219">
        <f>ROUND(119.84*Belarus*(1-C$41),2)</f>
        <v>119.84</v>
      </c>
    </row>
    <row r="18" spans="1:16" s="96" customFormat="1" ht="51" customHeight="1">
      <c r="A18" s="280"/>
      <c r="B18" s="1409" t="s">
        <v>1253</v>
      </c>
      <c r="C18" s="1411"/>
      <c r="D18" s="103" t="s">
        <v>1183</v>
      </c>
      <c r="E18" s="101" t="s">
        <v>640</v>
      </c>
      <c r="F18" s="1540">
        <f>ROUND(1209.65*Belarus*(1-C$41),2)</f>
        <v>1209.6500000000001</v>
      </c>
      <c r="G18" s="1541"/>
      <c r="I18" s="280"/>
      <c r="J18" s="1409" t="s">
        <v>1254</v>
      </c>
      <c r="K18" s="1411"/>
      <c r="L18" s="103" t="s">
        <v>1255</v>
      </c>
      <c r="M18" s="101" t="s">
        <v>640</v>
      </c>
      <c r="N18" s="219">
        <f>ROUND(505.72*Belarus*(1-C$41),2)</f>
        <v>505.72</v>
      </c>
    </row>
    <row r="19" spans="1:16" s="96" customFormat="1" ht="27" customHeight="1">
      <c r="A19" s="1907"/>
      <c r="B19" s="1409" t="s">
        <v>1256</v>
      </c>
      <c r="C19" s="1411"/>
      <c r="D19" s="1765" t="s">
        <v>1183</v>
      </c>
      <c r="E19" s="101" t="s">
        <v>640</v>
      </c>
      <c r="F19" s="1540">
        <f>ROUND(960.04*Belarus*(1-C$41),2)</f>
        <v>960.04</v>
      </c>
      <c r="G19" s="1541"/>
      <c r="I19" s="1907"/>
      <c r="J19" s="1351" t="s">
        <v>1257</v>
      </c>
      <c r="K19" s="1351"/>
      <c r="L19" s="1530" t="s">
        <v>1258</v>
      </c>
      <c r="M19" s="1386" t="s">
        <v>640</v>
      </c>
      <c r="N19" s="1766">
        <f>ROUND(7140.07*Belarus*(1-C$41),2)</f>
        <v>7140.07</v>
      </c>
    </row>
    <row r="20" spans="1:16" s="96" customFormat="1" ht="27" customHeight="1">
      <c r="A20" s="1909"/>
      <c r="B20" s="1409" t="s">
        <v>1259</v>
      </c>
      <c r="C20" s="1411"/>
      <c r="D20" s="1456"/>
      <c r="E20" s="101" t="s">
        <v>640</v>
      </c>
      <c r="F20" s="1540">
        <f>ROUND(960.04*Belarus*(1-C$41),2)</f>
        <v>960.04</v>
      </c>
      <c r="G20" s="1541"/>
      <c r="I20" s="1909"/>
      <c r="J20" s="1351"/>
      <c r="K20" s="1351"/>
      <c r="L20" s="1530"/>
      <c r="M20" s="1386"/>
      <c r="N20" s="1443"/>
    </row>
    <row r="21" spans="1:16" s="96" customFormat="1" ht="54.75" customHeight="1">
      <c r="A21" s="280"/>
      <c r="B21" s="1409" t="s">
        <v>1260</v>
      </c>
      <c r="C21" s="1411"/>
      <c r="D21" s="103" t="s">
        <v>1183</v>
      </c>
      <c r="E21" s="101" t="s">
        <v>640</v>
      </c>
      <c r="F21" s="1540">
        <f>ROUND(931.24*Belarus*(1-C$41),2)</f>
        <v>931.24</v>
      </c>
      <c r="G21" s="1541"/>
      <c r="I21" s="280"/>
      <c r="J21" s="1409" t="s">
        <v>1261</v>
      </c>
      <c r="K21" s="1411"/>
      <c r="L21" s="103" t="s">
        <v>1262</v>
      </c>
      <c r="M21" s="101" t="s">
        <v>640</v>
      </c>
      <c r="N21" s="101">
        <f>ROUND(10162.43*Belarus*(1-C$41),2)</f>
        <v>10162.43</v>
      </c>
    </row>
    <row r="22" spans="1:16" s="96" customFormat="1" ht="18.75" customHeight="1">
      <c r="A22" s="1907"/>
      <c r="B22" s="1418" t="s">
        <v>1263</v>
      </c>
      <c r="C22" s="1420"/>
      <c r="D22" s="1765" t="s">
        <v>1183</v>
      </c>
      <c r="E22" s="1766" t="s">
        <v>640</v>
      </c>
      <c r="F22" s="1918">
        <f>ROUND(931.24*Belarus*(1-C$41),2)</f>
        <v>931.24</v>
      </c>
      <c r="G22" s="1919"/>
      <c r="I22" s="1922" t="s">
        <v>1098</v>
      </c>
      <c r="J22" s="1923"/>
      <c r="K22" s="1923"/>
      <c r="L22" s="1923"/>
      <c r="M22" s="1923"/>
      <c r="N22" s="1924"/>
    </row>
    <row r="23" spans="1:16" s="96" customFormat="1" ht="37.5" customHeight="1">
      <c r="A23" s="1909"/>
      <c r="B23" s="1424"/>
      <c r="C23" s="1426"/>
      <c r="D23" s="1456"/>
      <c r="E23" s="1443"/>
      <c r="F23" s="1920"/>
      <c r="G23" s="1921"/>
      <c r="I23" s="1351" t="s">
        <v>6925</v>
      </c>
      <c r="J23" s="1351"/>
      <c r="K23" s="1351" t="s">
        <v>1099</v>
      </c>
      <c r="L23" s="1351"/>
      <c r="M23" s="101" t="s">
        <v>640</v>
      </c>
      <c r="N23" s="285">
        <f>ROUND(7630*Belarus*(1-$D$41),2)</f>
        <v>7630</v>
      </c>
    </row>
    <row r="24" spans="1:16" s="96" customFormat="1" ht="30.75" customHeight="1">
      <c r="A24" s="1907"/>
      <c r="B24" s="1409" t="s">
        <v>1264</v>
      </c>
      <c r="C24" s="1411"/>
      <c r="D24" s="103" t="s">
        <v>1183</v>
      </c>
      <c r="E24" s="101" t="s">
        <v>640</v>
      </c>
      <c r="F24" s="1540">
        <f>ROUND(960.04*Belarus*(1-C$41),2)</f>
        <v>960.04</v>
      </c>
      <c r="G24" s="1541"/>
      <c r="I24" s="1351" t="s">
        <v>1100</v>
      </c>
      <c r="J24" s="1351"/>
      <c r="K24" s="1351" t="s">
        <v>1099</v>
      </c>
      <c r="L24" s="1351"/>
      <c r="M24" s="101" t="s">
        <v>640</v>
      </c>
      <c r="N24" s="285">
        <f>ROUND(9700*Belarus*(1-$D$41),2)</f>
        <v>9700</v>
      </c>
    </row>
    <row r="25" spans="1:16" s="96" customFormat="1" ht="24.75" customHeight="1">
      <c r="A25" s="1909"/>
      <c r="B25" s="1409" t="s">
        <v>1265</v>
      </c>
      <c r="C25" s="1411"/>
      <c r="D25" s="103" t="s">
        <v>1183</v>
      </c>
      <c r="E25" s="101" t="s">
        <v>640</v>
      </c>
      <c r="F25" s="1540">
        <f>ROUND(960.04*Belarus*(1-C$41),2)</f>
        <v>960.04</v>
      </c>
      <c r="G25" s="1541"/>
      <c r="H25" s="1210"/>
      <c r="I25" s="1409" t="s">
        <v>794</v>
      </c>
      <c r="J25" s="1411"/>
      <c r="K25" s="1409" t="s">
        <v>1103</v>
      </c>
      <c r="L25" s="1411"/>
      <c r="M25" s="101" t="s">
        <v>640</v>
      </c>
      <c r="N25" s="285">
        <f>ROUND(4290*Belarus*(1-$D$41),2)</f>
        <v>4290</v>
      </c>
      <c r="O25" s="275"/>
      <c r="P25" s="275"/>
    </row>
    <row r="26" spans="1:16" s="96" customFormat="1" ht="18" customHeight="1">
      <c r="A26" s="1465" t="s">
        <v>1266</v>
      </c>
      <c r="B26" s="1466"/>
      <c r="C26" s="1466"/>
      <c r="D26" s="1466"/>
      <c r="E26" s="1467"/>
      <c r="F26" s="1925"/>
      <c r="G26" s="1926"/>
      <c r="I26" s="1409" t="s">
        <v>1104</v>
      </c>
      <c r="J26" s="1411"/>
      <c r="K26" s="1409" t="s">
        <v>1105</v>
      </c>
      <c r="L26" s="1411"/>
      <c r="M26" s="101" t="s">
        <v>640</v>
      </c>
      <c r="N26" s="285">
        <f>ROUND(2468*Belarus*(1-$D$41),2)</f>
        <v>2468</v>
      </c>
    </row>
    <row r="27" spans="1:16" s="96" customFormat="1" ht="9.75" customHeight="1">
      <c r="A27" s="1450"/>
      <c r="B27" s="1296" t="s">
        <v>1267</v>
      </c>
      <c r="C27" s="1296"/>
      <c r="D27" s="1530" t="s">
        <v>369</v>
      </c>
      <c r="E27" s="1386" t="s">
        <v>640</v>
      </c>
      <c r="F27" s="1877">
        <f>ROUND(50.33*Belarus*(1-C$41),2)</f>
        <v>50.33</v>
      </c>
      <c r="G27" s="1877"/>
      <c r="I27" s="125"/>
      <c r="J27" s="125"/>
      <c r="K27" s="125"/>
      <c r="L27" s="125"/>
      <c r="M27" s="113"/>
      <c r="N27" s="1211"/>
    </row>
    <row r="28" spans="1:16" s="96" customFormat="1" ht="20.25" customHeight="1">
      <c r="A28" s="1864"/>
      <c r="B28" s="1296"/>
      <c r="C28" s="1296"/>
      <c r="D28" s="1530"/>
      <c r="E28" s="1386"/>
      <c r="F28" s="1877"/>
      <c r="G28" s="1877"/>
      <c r="I28" s="1422"/>
      <c r="J28" s="1422"/>
      <c r="K28" s="1422"/>
      <c r="L28" s="1422"/>
      <c r="M28" s="76"/>
      <c r="N28" s="935"/>
    </row>
    <row r="29" spans="1:16" s="96" customFormat="1" ht="10.5" customHeight="1">
      <c r="A29" s="1451"/>
      <c r="B29" s="1296"/>
      <c r="C29" s="1296"/>
      <c r="D29" s="1530"/>
      <c r="E29" s="1386"/>
      <c r="F29" s="1877"/>
      <c r="G29" s="1877"/>
      <c r="I29" s="932"/>
      <c r="J29" s="932"/>
      <c r="K29" s="932"/>
      <c r="L29" s="932"/>
      <c r="M29" s="933"/>
      <c r="N29" s="934"/>
    </row>
    <row r="30" spans="1:16" s="96" customFormat="1" ht="33.75" customHeight="1">
      <c r="A30" s="1907"/>
      <c r="B30" s="1409" t="s">
        <v>1268</v>
      </c>
      <c r="C30" s="1411"/>
      <c r="D30" s="103" t="s">
        <v>1269</v>
      </c>
      <c r="E30" s="101" t="s">
        <v>1082</v>
      </c>
      <c r="F30" s="1925">
        <f>ROUND(2118.6*Belarus*(1-C$41),2)</f>
        <v>2118.6</v>
      </c>
      <c r="G30" s="1926"/>
      <c r="I30" s="1332" t="s">
        <v>1270</v>
      </c>
      <c r="J30" s="1332"/>
      <c r="K30" s="1332"/>
      <c r="L30" s="1332"/>
      <c r="M30" s="1332"/>
      <c r="N30" s="1332"/>
    </row>
    <row r="31" spans="1:16" s="96" customFormat="1" ht="33.75" customHeight="1">
      <c r="A31" s="1909"/>
      <c r="B31" s="1409" t="s">
        <v>6857</v>
      </c>
      <c r="C31" s="1411"/>
      <c r="D31" s="103" t="s">
        <v>1271</v>
      </c>
      <c r="E31" s="101" t="s">
        <v>1082</v>
      </c>
      <c r="F31" s="1925">
        <f>ROUND(8320.29*Belarus*(1-C$41),2)</f>
        <v>8320.2900000000009</v>
      </c>
      <c r="G31" s="1926"/>
      <c r="I31" s="1786" t="s">
        <v>1272</v>
      </c>
      <c r="J31" s="1787"/>
      <c r="K31" s="1787"/>
      <c r="L31" s="1787"/>
      <c r="M31" s="1787"/>
      <c r="N31" s="1788"/>
    </row>
    <row r="32" spans="1:16" s="96" customFormat="1" ht="34.5" customHeight="1">
      <c r="A32" s="1907"/>
      <c r="B32" s="1409" t="s">
        <v>1273</v>
      </c>
      <c r="C32" s="1411"/>
      <c r="D32" s="103" t="s">
        <v>1274</v>
      </c>
      <c r="E32" s="101" t="s">
        <v>640</v>
      </c>
      <c r="F32" s="1925">
        <f>ROUND(576.02*Belarus*(1-C$41),2)</f>
        <v>576.02</v>
      </c>
      <c r="G32" s="1926"/>
      <c r="I32" s="1817"/>
      <c r="J32" s="1927"/>
      <c r="K32" s="1927"/>
      <c r="L32" s="1927"/>
      <c r="M32" s="1927"/>
      <c r="N32" s="1818"/>
    </row>
    <row r="33" spans="1:14" s="96" customFormat="1" ht="27" customHeight="1">
      <c r="A33" s="1909"/>
      <c r="B33" s="1409" t="s">
        <v>1275</v>
      </c>
      <c r="C33" s="1411"/>
      <c r="D33" s="103" t="s">
        <v>1276</v>
      </c>
      <c r="E33" s="101" t="s">
        <v>640</v>
      </c>
      <c r="F33" s="1925">
        <f>ROUND(422.41*Belarus*(1-C$41),2)</f>
        <v>422.41</v>
      </c>
      <c r="G33" s="1926"/>
      <c r="I33" s="1332" t="s">
        <v>1220</v>
      </c>
      <c r="J33" s="1332"/>
      <c r="K33" s="1332"/>
      <c r="L33" s="1332"/>
      <c r="M33" s="1332"/>
      <c r="N33" s="1332"/>
    </row>
    <row r="34" spans="1:14" s="96" customFormat="1" ht="27" customHeight="1">
      <c r="A34" s="1618"/>
      <c r="B34" s="1418" t="s">
        <v>1277</v>
      </c>
      <c r="C34" s="1420"/>
      <c r="D34" s="1530" t="s">
        <v>1190</v>
      </c>
      <c r="E34" s="1386" t="s">
        <v>640</v>
      </c>
      <c r="F34" s="1918">
        <f>ROUND(185*Belarus*(1-C$41),2)</f>
        <v>185</v>
      </c>
      <c r="G34" s="1919"/>
      <c r="I34" s="1332" t="s">
        <v>1278</v>
      </c>
      <c r="J34" s="1332"/>
      <c r="K34" s="1332"/>
      <c r="L34" s="1332"/>
      <c r="M34" s="1332"/>
      <c r="N34" s="1332"/>
    </row>
    <row r="35" spans="1:14" s="96" customFormat="1" ht="13.5" customHeight="1">
      <c r="A35" s="1618"/>
      <c r="B35" s="1424"/>
      <c r="C35" s="1426"/>
      <c r="D35" s="1530"/>
      <c r="E35" s="1386"/>
      <c r="F35" s="1920"/>
      <c r="G35" s="1921"/>
      <c r="I35" s="1332"/>
      <c r="J35" s="1332"/>
      <c r="K35" s="1332"/>
      <c r="L35" s="1332"/>
      <c r="M35" s="1332"/>
      <c r="N35" s="1332"/>
    </row>
    <row r="40" spans="1:14" ht="35.25" customHeight="1">
      <c r="A40" s="1888" t="s">
        <v>508</v>
      </c>
      <c r="B40" s="186" t="s">
        <v>1279</v>
      </c>
      <c r="C40" s="186" t="s">
        <v>1280</v>
      </c>
      <c r="D40" s="1342" t="s">
        <v>152</v>
      </c>
      <c r="E40" s="1343"/>
      <c r="F40" s="1342" t="s">
        <v>30</v>
      </c>
      <c r="G40" s="1343"/>
    </row>
    <row r="41" spans="1:14">
      <c r="A41" s="1889"/>
      <c r="B41" s="148">
        <v>0</v>
      </c>
      <c r="C41" s="148">
        <v>0</v>
      </c>
      <c r="D41" s="1661">
        <v>0</v>
      </c>
      <c r="E41" s="1662"/>
      <c r="F41" s="1661">
        <v>0</v>
      </c>
      <c r="G41" s="1662"/>
    </row>
  </sheetData>
  <mergeCells count="132">
    <mergeCell ref="A40:A41"/>
    <mergeCell ref="D40:E40"/>
    <mergeCell ref="F40:G40"/>
    <mergeCell ref="D41:E41"/>
    <mergeCell ref="F41:G41"/>
    <mergeCell ref="F32:G32"/>
    <mergeCell ref="B33:C33"/>
    <mergeCell ref="F33:G33"/>
    <mergeCell ref="I33:N33"/>
    <mergeCell ref="A34:A35"/>
    <mergeCell ref="B34:C35"/>
    <mergeCell ref="D34:D35"/>
    <mergeCell ref="E34:E35"/>
    <mergeCell ref="F34:G35"/>
    <mergeCell ref="I34:N35"/>
    <mergeCell ref="K28:L28"/>
    <mergeCell ref="A30:A31"/>
    <mergeCell ref="B30:C30"/>
    <mergeCell ref="F30:G30"/>
    <mergeCell ref="I30:N30"/>
    <mergeCell ref="B31:C31"/>
    <mergeCell ref="F31:G31"/>
    <mergeCell ref="I31:N32"/>
    <mergeCell ref="A32:A33"/>
    <mergeCell ref="B32:C32"/>
    <mergeCell ref="A26:E26"/>
    <mergeCell ref="F26:G26"/>
    <mergeCell ref="I26:J26"/>
    <mergeCell ref="K26:L26"/>
    <mergeCell ref="A27:A29"/>
    <mergeCell ref="B27:C29"/>
    <mergeCell ref="D27:D29"/>
    <mergeCell ref="E27:E29"/>
    <mergeCell ref="F27:G29"/>
    <mergeCell ref="I28:J28"/>
    <mergeCell ref="A24:A25"/>
    <mergeCell ref="B24:C24"/>
    <mergeCell ref="F24:G24"/>
    <mergeCell ref="I24:J24"/>
    <mergeCell ref="K24:L24"/>
    <mergeCell ref="B25:C25"/>
    <mergeCell ref="F25:G25"/>
    <mergeCell ref="I25:J25"/>
    <mergeCell ref="K25:L25"/>
    <mergeCell ref="A22:A23"/>
    <mergeCell ref="B22:C23"/>
    <mergeCell ref="D22:D23"/>
    <mergeCell ref="E22:E23"/>
    <mergeCell ref="F22:G23"/>
    <mergeCell ref="I22:N22"/>
    <mergeCell ref="I23:J23"/>
    <mergeCell ref="K23:L23"/>
    <mergeCell ref="L19:L20"/>
    <mergeCell ref="M19:M20"/>
    <mergeCell ref="N19:N20"/>
    <mergeCell ref="B20:C20"/>
    <mergeCell ref="F20:G20"/>
    <mergeCell ref="B21:C21"/>
    <mergeCell ref="F21:G21"/>
    <mergeCell ref="J21:K21"/>
    <mergeCell ref="B18:C18"/>
    <mergeCell ref="F18:G18"/>
    <mergeCell ref="J18:K18"/>
    <mergeCell ref="A19:A20"/>
    <mergeCell ref="B19:C19"/>
    <mergeCell ref="D19:D20"/>
    <mergeCell ref="F19:G19"/>
    <mergeCell ref="I19:I20"/>
    <mergeCell ref="J19:K20"/>
    <mergeCell ref="B16:C16"/>
    <mergeCell ref="F16:G16"/>
    <mergeCell ref="I16:I17"/>
    <mergeCell ref="J16:K16"/>
    <mergeCell ref="B17:C17"/>
    <mergeCell ref="F17:G17"/>
    <mergeCell ref="J17:K17"/>
    <mergeCell ref="N13:N14"/>
    <mergeCell ref="A14:A15"/>
    <mergeCell ref="B14:C14"/>
    <mergeCell ref="F14:G14"/>
    <mergeCell ref="B15:C15"/>
    <mergeCell ref="F15:G15"/>
    <mergeCell ref="J15:K15"/>
    <mergeCell ref="N11:N12"/>
    <mergeCell ref="A12:A13"/>
    <mergeCell ref="B12:C12"/>
    <mergeCell ref="F12:G12"/>
    <mergeCell ref="B13:C13"/>
    <mergeCell ref="F13:G13"/>
    <mergeCell ref="I13:I15"/>
    <mergeCell ref="J13:K14"/>
    <mergeCell ref="L13:L14"/>
    <mergeCell ref="M13:M14"/>
    <mergeCell ref="A11:E11"/>
    <mergeCell ref="F11:G11"/>
    <mergeCell ref="I11:I12"/>
    <mergeCell ref="J11:K12"/>
    <mergeCell ref="L11:L12"/>
    <mergeCell ref="M11:M12"/>
    <mergeCell ref="A9:A10"/>
    <mergeCell ref="B9:C9"/>
    <mergeCell ref="D9:D10"/>
    <mergeCell ref="E9:E10"/>
    <mergeCell ref="B10:C10"/>
    <mergeCell ref="I10:N10"/>
    <mergeCell ref="M6:M8"/>
    <mergeCell ref="N6:N8"/>
    <mergeCell ref="A7:A8"/>
    <mergeCell ref="B7:C7"/>
    <mergeCell ref="D7:D8"/>
    <mergeCell ref="E7:E8"/>
    <mergeCell ref="B8:C8"/>
    <mergeCell ref="I4:I5"/>
    <mergeCell ref="J4:K5"/>
    <mergeCell ref="L4:L5"/>
    <mergeCell ref="M4:M5"/>
    <mergeCell ref="N4:N5"/>
    <mergeCell ref="A6:E6"/>
    <mergeCell ref="F6:G6"/>
    <mergeCell ref="I6:I8"/>
    <mergeCell ref="J6:K8"/>
    <mergeCell ref="L6:L8"/>
    <mergeCell ref="A1:D1"/>
    <mergeCell ref="A2:J2"/>
    <mergeCell ref="M2:N2"/>
    <mergeCell ref="M3:N3"/>
    <mergeCell ref="A4:A5"/>
    <mergeCell ref="B4:C5"/>
    <mergeCell ref="D4:D5"/>
    <mergeCell ref="E4:E5"/>
    <mergeCell ref="F4:F5"/>
    <mergeCell ref="G4:G5"/>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60" orientation="landscape" horizontalDpi="300" verticalDpi="300" r:id="rId1"/>
  <headerFooter scaleWithDoc="0">
    <oddHeader xml:space="preserve">&amp;L&amp;G&amp;R&amp;5Центр поддержки клиентов Grand Line: +7 (495) 748-38-38
cайт: www.grandline.ru   </oddHeader>
    <oddFooter>&amp;R&amp;5Страница 12</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N57"/>
  <sheetViews>
    <sheetView zoomScale="70" zoomScaleNormal="70" zoomScaleSheetLayoutView="40" workbookViewId="0">
      <selection activeCell="A2" sqref="A2:P2"/>
    </sheetView>
  </sheetViews>
  <sheetFormatPr defaultRowHeight="12.75"/>
  <cols>
    <col min="1" max="1" width="22.85546875" style="46" customWidth="1"/>
    <col min="2" max="2" width="32.140625" style="54" customWidth="1"/>
    <col min="3" max="3" width="37.28515625" style="46" customWidth="1"/>
    <col min="4" max="4" width="17.5703125" style="46" customWidth="1"/>
    <col min="5" max="5" width="6.5703125" style="46" customWidth="1"/>
    <col min="6" max="6" width="8.5703125" style="46" customWidth="1"/>
    <col min="7" max="7" width="10.42578125" style="46" customWidth="1"/>
    <col min="8" max="8" width="2.7109375" style="46" customWidth="1"/>
    <col min="9" max="9" width="24.140625" style="46" customWidth="1"/>
    <col min="10" max="10" width="32.140625" style="46" customWidth="1"/>
    <col min="11" max="11" width="37.28515625" style="46" customWidth="1"/>
    <col min="12" max="12" width="14.7109375" style="46" customWidth="1"/>
    <col min="13" max="13" width="6.7109375" style="46" customWidth="1"/>
    <col min="14" max="14" width="13.28515625" style="46" customWidth="1"/>
    <col min="15" max="16384" width="9.140625" style="46"/>
  </cols>
  <sheetData>
    <row r="1" spans="1:14">
      <c r="A1" s="1928" t="s">
        <v>312</v>
      </c>
      <c r="B1" s="1928"/>
      <c r="C1" s="1928"/>
      <c r="D1" s="1928"/>
      <c r="E1" s="275"/>
      <c r="F1" s="275"/>
      <c r="G1" s="275"/>
      <c r="H1" s="275"/>
      <c r="I1" s="275"/>
      <c r="J1" s="275"/>
      <c r="K1" s="275"/>
      <c r="L1" s="275"/>
      <c r="M1" s="275"/>
      <c r="N1" s="275"/>
    </row>
    <row r="2" spans="1:14" ht="18.75" thickBot="1">
      <c r="A2" s="1273" t="s">
        <v>103</v>
      </c>
      <c r="B2" s="1273"/>
      <c r="C2" s="1273"/>
      <c r="D2" s="1273"/>
      <c r="E2" s="1273"/>
      <c r="F2" s="1273"/>
      <c r="G2" s="1273"/>
      <c r="H2" s="1273"/>
      <c r="I2" s="1273"/>
      <c r="J2" s="1273"/>
      <c r="K2" s="746"/>
      <c r="L2" s="734" t="s">
        <v>313</v>
      </c>
      <c r="M2" s="1852">
        <v>43304</v>
      </c>
      <c r="N2" s="1852"/>
    </row>
    <row r="3" spans="1:14">
      <c r="A3" s="276"/>
      <c r="B3" s="277"/>
      <c r="C3" s="277"/>
      <c r="D3" s="277"/>
      <c r="E3" s="277"/>
      <c r="F3" s="164"/>
      <c r="G3" s="164"/>
      <c r="I3" s="276"/>
      <c r="J3" s="277"/>
      <c r="K3" s="277"/>
      <c r="L3" s="297" t="s">
        <v>804</v>
      </c>
      <c r="M3" s="1929">
        <v>43245</v>
      </c>
      <c r="N3" s="1929"/>
    </row>
    <row r="4" spans="1:14" ht="20.25" customHeight="1">
      <c r="A4" s="1566" t="s">
        <v>1071</v>
      </c>
      <c r="B4" s="1535" t="s">
        <v>307</v>
      </c>
      <c r="C4" s="1536"/>
      <c r="D4" s="1495" t="s">
        <v>1073</v>
      </c>
      <c r="E4" s="1495" t="s">
        <v>622</v>
      </c>
      <c r="F4" s="1388" t="s">
        <v>1133</v>
      </c>
      <c r="G4" s="1388"/>
      <c r="I4" s="1566" t="s">
        <v>1071</v>
      </c>
      <c r="J4" s="1535" t="s">
        <v>307</v>
      </c>
      <c r="K4" s="1536"/>
      <c r="L4" s="1495" t="s">
        <v>1073</v>
      </c>
      <c r="M4" s="1495" t="s">
        <v>622</v>
      </c>
      <c r="N4" s="1388" t="s">
        <v>559</v>
      </c>
    </row>
    <row r="5" spans="1:14" ht="20.25" customHeight="1">
      <c r="A5" s="1930"/>
      <c r="B5" s="1537"/>
      <c r="C5" s="1538"/>
      <c r="D5" s="1470"/>
      <c r="E5" s="1470"/>
      <c r="F5" s="68" t="s">
        <v>1134</v>
      </c>
      <c r="G5" s="68" t="s">
        <v>1135</v>
      </c>
      <c r="I5" s="1930"/>
      <c r="J5" s="1537"/>
      <c r="K5" s="1538"/>
      <c r="L5" s="1470"/>
      <c r="M5" s="1470"/>
      <c r="N5" s="1495"/>
    </row>
    <row r="6" spans="1:14" ht="13.5" customHeight="1">
      <c r="A6" s="1462" t="s">
        <v>1281</v>
      </c>
      <c r="B6" s="1463"/>
      <c r="C6" s="1463"/>
      <c r="D6" s="1463"/>
      <c r="E6" s="1463"/>
      <c r="F6" s="1463"/>
      <c r="G6" s="1464"/>
      <c r="H6" s="298"/>
      <c r="I6" s="1931"/>
      <c r="J6" s="1351" t="s">
        <v>1282</v>
      </c>
      <c r="K6" s="1351"/>
      <c r="L6" s="1530" t="s">
        <v>1283</v>
      </c>
      <c r="M6" s="1386" t="s">
        <v>640</v>
      </c>
      <c r="N6" s="1761">
        <f>ROUND(1074*Belarus*(1-$F$57),2)</f>
        <v>1074</v>
      </c>
    </row>
    <row r="7" spans="1:14" ht="13.5" customHeight="1">
      <c r="A7" s="1931"/>
      <c r="B7" s="1351" t="s">
        <v>1286</v>
      </c>
      <c r="C7" s="1351"/>
      <c r="D7" s="1765" t="s">
        <v>1285</v>
      </c>
      <c r="E7" s="101" t="s">
        <v>640</v>
      </c>
      <c r="F7" s="235">
        <f>ROUND(667*Belarus*(1-B57),2)</f>
        <v>667</v>
      </c>
      <c r="G7" s="235">
        <f>ROUND(F7/0.55,0)</f>
        <v>1213</v>
      </c>
      <c r="I7" s="1932"/>
      <c r="J7" s="1351"/>
      <c r="K7" s="1351"/>
      <c r="L7" s="1530"/>
      <c r="M7" s="1386"/>
      <c r="N7" s="1761"/>
    </row>
    <row r="8" spans="1:14" ht="15" customHeight="1">
      <c r="A8" s="1932"/>
      <c r="B8" s="1351" t="s">
        <v>1284</v>
      </c>
      <c r="C8" s="1351"/>
      <c r="D8" s="1455"/>
      <c r="E8" s="101" t="s">
        <v>640</v>
      </c>
      <c r="F8" s="1769">
        <f>ROUND(849*Belarus*(1-D57),2)</f>
        <v>849</v>
      </c>
      <c r="G8" s="1769">
        <f>ROUND(F8/0.55,0)</f>
        <v>1544</v>
      </c>
      <c r="I8" s="1932"/>
      <c r="J8" s="1351"/>
      <c r="K8" s="1351"/>
      <c r="L8" s="1530"/>
      <c r="M8" s="1386"/>
      <c r="N8" s="1761"/>
    </row>
    <row r="9" spans="1:14" ht="15.75" customHeight="1">
      <c r="A9" s="1932"/>
      <c r="B9" s="1351" t="s">
        <v>1287</v>
      </c>
      <c r="C9" s="1351"/>
      <c r="D9" s="1455"/>
      <c r="E9" s="101" t="s">
        <v>640</v>
      </c>
      <c r="F9" s="1934"/>
      <c r="G9" s="1934"/>
      <c r="I9" s="1933"/>
      <c r="J9" s="1351" t="s">
        <v>1288</v>
      </c>
      <c r="K9" s="1351"/>
      <c r="L9" s="1530"/>
      <c r="M9" s="101" t="s">
        <v>640</v>
      </c>
      <c r="N9" s="235">
        <f>ROUND(1362*Belarus*(1-$F$57),2)</f>
        <v>1362</v>
      </c>
    </row>
    <row r="10" spans="1:14" ht="17.25" customHeight="1">
      <c r="A10" s="1932"/>
      <c r="B10" s="1351" t="s">
        <v>1289</v>
      </c>
      <c r="C10" s="1351"/>
      <c r="D10" s="1455"/>
      <c r="E10" s="101" t="s">
        <v>640</v>
      </c>
      <c r="F10" s="1770"/>
      <c r="G10" s="1770"/>
      <c r="I10" s="1931"/>
      <c r="J10" s="1351" t="s">
        <v>1290</v>
      </c>
      <c r="K10" s="1351"/>
      <c r="L10" s="1530" t="s">
        <v>1291</v>
      </c>
      <c r="M10" s="1386" t="s">
        <v>640</v>
      </c>
      <c r="N10" s="1761">
        <f>ROUND(1074*Belarus*(1-$F$57),2)</f>
        <v>1074</v>
      </c>
    </row>
    <row r="11" spans="1:14" ht="17.25" customHeight="1">
      <c r="A11" s="1933"/>
      <c r="B11" s="1351" t="s">
        <v>1292</v>
      </c>
      <c r="C11" s="1351"/>
      <c r="D11" s="1456"/>
      <c r="E11" s="101" t="s">
        <v>640</v>
      </c>
      <c r="F11" s="235">
        <f>ROUND(1026*Belarus*(1-D57),2)</f>
        <v>1026</v>
      </c>
      <c r="G11" s="235">
        <f>ROUND(F11/0.55,0)</f>
        <v>1865</v>
      </c>
      <c r="I11" s="1932"/>
      <c r="J11" s="1351"/>
      <c r="K11" s="1351"/>
      <c r="L11" s="1530"/>
      <c r="M11" s="1386"/>
      <c r="N11" s="1761"/>
    </row>
    <row r="12" spans="1:14" ht="15.75" customHeight="1">
      <c r="A12" s="1931"/>
      <c r="B12" s="1351" t="s">
        <v>6324</v>
      </c>
      <c r="C12" s="1351"/>
      <c r="D12" s="1765" t="s">
        <v>1293</v>
      </c>
      <c r="E12" s="101" t="s">
        <v>640</v>
      </c>
      <c r="F12" s="235">
        <f>ROUND(667*Belarus*(1-C57),2)</f>
        <v>667</v>
      </c>
      <c r="G12" s="235">
        <f>ROUND(F12/0.54,0)</f>
        <v>1235</v>
      </c>
      <c r="I12" s="1933"/>
      <c r="J12" s="1351" t="s">
        <v>1294</v>
      </c>
      <c r="K12" s="1351"/>
      <c r="L12" s="1530"/>
      <c r="M12" s="101" t="s">
        <v>640</v>
      </c>
      <c r="N12" s="235">
        <f>ROUND(1362*Belarus*(1-$F$57),2)</f>
        <v>1362</v>
      </c>
    </row>
    <row r="13" spans="1:14" ht="28.5" customHeight="1">
      <c r="A13" s="1932"/>
      <c r="B13" s="1351" t="s">
        <v>6325</v>
      </c>
      <c r="C13" s="1351"/>
      <c r="D13" s="1455"/>
      <c r="E13" s="101" t="s">
        <v>640</v>
      </c>
      <c r="F13" s="235">
        <f>ROUND(849*Belarus*(1-D57),2)</f>
        <v>849</v>
      </c>
      <c r="G13" s="235">
        <f>ROUND(F13/0.54,0)</f>
        <v>1572</v>
      </c>
      <c r="I13" s="1931"/>
      <c r="J13" s="1351" t="s">
        <v>1295</v>
      </c>
      <c r="K13" s="1351"/>
      <c r="L13" s="1765" t="s">
        <v>1283</v>
      </c>
      <c r="M13" s="101" t="s">
        <v>640</v>
      </c>
      <c r="N13" s="235">
        <f>ROUND(1066*Belarus*(1-$F$57),2)</f>
        <v>1066</v>
      </c>
    </row>
    <row r="14" spans="1:14" ht="20.25" customHeight="1">
      <c r="A14" s="1933"/>
      <c r="B14" s="1351" t="s">
        <v>1296</v>
      </c>
      <c r="C14" s="1351"/>
      <c r="D14" s="1456"/>
      <c r="E14" s="101" t="s">
        <v>640</v>
      </c>
      <c r="F14" s="235">
        <f>ROUND(1026*Belarus*(1-D57),2)</f>
        <v>1026</v>
      </c>
      <c r="G14" s="235">
        <f>ROUND(F14/0.54,0)</f>
        <v>1900</v>
      </c>
      <c r="I14" s="1933"/>
      <c r="J14" s="1351" t="s">
        <v>1297</v>
      </c>
      <c r="K14" s="1351"/>
      <c r="L14" s="1456"/>
      <c r="M14" s="101" t="s">
        <v>640</v>
      </c>
      <c r="N14" s="235">
        <f>ROUND(1348*Belarus*(1-$F$57),2)</f>
        <v>1348</v>
      </c>
    </row>
    <row r="15" spans="1:14" ht="20.25" customHeight="1">
      <c r="A15" s="1931"/>
      <c r="B15" s="1351" t="s">
        <v>1298</v>
      </c>
      <c r="C15" s="1351"/>
      <c r="D15" s="1530" t="s">
        <v>1299</v>
      </c>
      <c r="E15" s="101" t="s">
        <v>640</v>
      </c>
      <c r="F15" s="1769">
        <f>ROUND(849*Belarus*(1-D57),2)</f>
        <v>849</v>
      </c>
      <c r="G15" s="1769">
        <f t="shared" ref="G15:G24" si="0">ROUND(F15/0.55,0)</f>
        <v>1544</v>
      </c>
      <c r="I15" s="1931"/>
      <c r="J15" s="1418" t="s">
        <v>1300</v>
      </c>
      <c r="K15" s="1420"/>
      <c r="L15" s="1765" t="s">
        <v>1183</v>
      </c>
      <c r="M15" s="1766" t="s">
        <v>640</v>
      </c>
      <c r="N15" s="1769">
        <f>ROUND(1102*Belarus*(1-$F$57),2)</f>
        <v>1102</v>
      </c>
    </row>
    <row r="16" spans="1:14" ht="29.25" customHeight="1">
      <c r="A16" s="1932"/>
      <c r="B16" s="1351" t="s">
        <v>1301</v>
      </c>
      <c r="C16" s="1351"/>
      <c r="D16" s="1530"/>
      <c r="E16" s="101" t="s">
        <v>640</v>
      </c>
      <c r="F16" s="1770"/>
      <c r="G16" s="1770"/>
      <c r="I16" s="1932"/>
      <c r="J16" s="1424"/>
      <c r="K16" s="1426"/>
      <c r="L16" s="1455"/>
      <c r="M16" s="1443"/>
      <c r="N16" s="1770"/>
    </row>
    <row r="17" spans="1:14" ht="26.25" customHeight="1">
      <c r="A17" s="1933"/>
      <c r="B17" s="1351" t="s">
        <v>1302</v>
      </c>
      <c r="C17" s="1351"/>
      <c r="D17" s="1530"/>
      <c r="E17" s="101" t="s">
        <v>640</v>
      </c>
      <c r="F17" s="235">
        <f>ROUND(1026*Belarus*(1-D57),2)</f>
        <v>1026</v>
      </c>
      <c r="G17" s="235">
        <f t="shared" si="0"/>
        <v>1865</v>
      </c>
      <c r="I17" s="1933"/>
      <c r="J17" s="1351" t="s">
        <v>1303</v>
      </c>
      <c r="K17" s="1351"/>
      <c r="L17" s="1456"/>
      <c r="M17" s="101" t="s">
        <v>640</v>
      </c>
      <c r="N17" s="235">
        <f>ROUND(1396*Belarus*(1-$F$57),2)</f>
        <v>1396</v>
      </c>
    </row>
    <row r="18" spans="1:14" ht="36" customHeight="1">
      <c r="A18" s="1931"/>
      <c r="B18" s="1351" t="s">
        <v>1304</v>
      </c>
      <c r="C18" s="1351"/>
      <c r="D18" s="1530" t="s">
        <v>1305</v>
      </c>
      <c r="E18" s="101" t="s">
        <v>640</v>
      </c>
      <c r="F18" s="235">
        <f>ROUND(849*Belarus*(1-D57),2)</f>
        <v>849</v>
      </c>
      <c r="G18" s="235">
        <f t="shared" si="0"/>
        <v>1544</v>
      </c>
      <c r="I18" s="1618"/>
      <c r="J18" s="1351" t="s">
        <v>1306</v>
      </c>
      <c r="K18" s="1351"/>
      <c r="L18" s="1765" t="s">
        <v>1190</v>
      </c>
      <c r="M18" s="101" t="s">
        <v>640</v>
      </c>
      <c r="N18" s="235">
        <f>ROUND(2922*Belarus*(1-$F$57),2)</f>
        <v>2922</v>
      </c>
    </row>
    <row r="19" spans="1:14" ht="28.5" customHeight="1">
      <c r="A19" s="1933"/>
      <c r="B19" s="1351" t="s">
        <v>1307</v>
      </c>
      <c r="C19" s="1351"/>
      <c r="D19" s="1530"/>
      <c r="E19" s="101" t="s">
        <v>640</v>
      </c>
      <c r="F19" s="235">
        <f>ROUND(1026*Belarus*(1-D57),2)</f>
        <v>1026</v>
      </c>
      <c r="G19" s="235">
        <f t="shared" si="0"/>
        <v>1865</v>
      </c>
      <c r="I19" s="1618"/>
      <c r="J19" s="1351" t="s">
        <v>1308</v>
      </c>
      <c r="K19" s="1351"/>
      <c r="L19" s="1456"/>
      <c r="M19" s="101" t="s">
        <v>640</v>
      </c>
      <c r="N19" s="235">
        <f>ROUND(3702*Belarus*(1-$F$57),2)</f>
        <v>3702</v>
      </c>
    </row>
    <row r="20" spans="1:14" ht="33.75" customHeight="1">
      <c r="A20" s="1931"/>
      <c r="B20" s="1351" t="s">
        <v>1309</v>
      </c>
      <c r="C20" s="1351"/>
      <c r="D20" s="1530" t="s">
        <v>1310</v>
      </c>
      <c r="E20" s="101" t="s">
        <v>640</v>
      </c>
      <c r="F20" s="299">
        <f>ROUND(849*Belarus*(1-D57),2)</f>
        <v>849</v>
      </c>
      <c r="G20" s="235">
        <f t="shared" si="0"/>
        <v>1544</v>
      </c>
      <c r="I20" s="1931"/>
      <c r="J20" s="1351" t="s">
        <v>1311</v>
      </c>
      <c r="K20" s="1351"/>
      <c r="L20" s="1765" t="s">
        <v>1283</v>
      </c>
      <c r="M20" s="101" t="s">
        <v>640</v>
      </c>
      <c r="N20" s="235">
        <f>ROUND(1102*Belarus*(1-$F$57),2)</f>
        <v>1102</v>
      </c>
    </row>
    <row r="21" spans="1:14" ht="31.5" customHeight="1">
      <c r="A21" s="1933"/>
      <c r="B21" s="1351" t="s">
        <v>1312</v>
      </c>
      <c r="C21" s="1351"/>
      <c r="D21" s="1530"/>
      <c r="E21" s="101" t="s">
        <v>640</v>
      </c>
      <c r="F21" s="299">
        <f>ROUND(1026*Belarus*(1-D57),2)</f>
        <v>1026</v>
      </c>
      <c r="G21" s="235">
        <f t="shared" si="0"/>
        <v>1865</v>
      </c>
      <c r="I21" s="1933"/>
      <c r="J21" s="1351" t="s">
        <v>1313</v>
      </c>
      <c r="K21" s="1351"/>
      <c r="L21" s="1456"/>
      <c r="M21" s="101" t="s">
        <v>640</v>
      </c>
      <c r="N21" s="235">
        <f>ROUND(1396*Belarus*(1-$F$57),2)</f>
        <v>1396</v>
      </c>
    </row>
    <row r="22" spans="1:14" ht="19.5" customHeight="1">
      <c r="A22" s="1931"/>
      <c r="B22" s="1351" t="s">
        <v>1314</v>
      </c>
      <c r="C22" s="1351"/>
      <c r="D22" s="1530" t="s">
        <v>1315</v>
      </c>
      <c r="E22" s="101" t="s">
        <v>640</v>
      </c>
      <c r="F22" s="1767">
        <f>ROUND(849*Belarus*(1-D57),2)</f>
        <v>849</v>
      </c>
      <c r="G22" s="1769">
        <f t="shared" si="0"/>
        <v>1544</v>
      </c>
      <c r="I22" s="1931"/>
      <c r="J22" s="1418" t="s">
        <v>1316</v>
      </c>
      <c r="K22" s="1420"/>
      <c r="L22" s="1765" t="s">
        <v>1183</v>
      </c>
      <c r="M22" s="1766" t="s">
        <v>640</v>
      </c>
      <c r="N22" s="1769">
        <f>ROUND(1102*Belarus*(1-$F$57),2)</f>
        <v>1102</v>
      </c>
    </row>
    <row r="23" spans="1:14" ht="19.5" customHeight="1">
      <c r="A23" s="1932"/>
      <c r="B23" s="1351" t="s">
        <v>1317</v>
      </c>
      <c r="C23" s="1351"/>
      <c r="D23" s="1530"/>
      <c r="E23" s="101" t="s">
        <v>640</v>
      </c>
      <c r="F23" s="1768"/>
      <c r="G23" s="1770"/>
      <c r="I23" s="1932"/>
      <c r="J23" s="1424"/>
      <c r="K23" s="1426"/>
      <c r="L23" s="1455"/>
      <c r="M23" s="1443"/>
      <c r="N23" s="1770"/>
    </row>
    <row r="24" spans="1:14" ht="30" customHeight="1">
      <c r="A24" s="1933"/>
      <c r="B24" s="1351" t="s">
        <v>1318</v>
      </c>
      <c r="C24" s="1351"/>
      <c r="D24" s="1530"/>
      <c r="E24" s="101" t="s">
        <v>640</v>
      </c>
      <c r="F24" s="299">
        <f>ROUND(1026*Belarus*(1-D57),2)</f>
        <v>1026</v>
      </c>
      <c r="G24" s="235">
        <f t="shared" si="0"/>
        <v>1865</v>
      </c>
      <c r="I24" s="1933"/>
      <c r="J24" s="1351" t="s">
        <v>1319</v>
      </c>
      <c r="K24" s="1351"/>
      <c r="L24" s="1456"/>
      <c r="M24" s="101" t="s">
        <v>640</v>
      </c>
      <c r="N24" s="235">
        <f>ROUND(1396*Belarus*(1-$F$57),2)</f>
        <v>1396</v>
      </c>
    </row>
    <row r="25" spans="1:14" ht="21" customHeight="1">
      <c r="A25" s="1931"/>
      <c r="B25" s="1351" t="s">
        <v>1320</v>
      </c>
      <c r="C25" s="1351"/>
      <c r="D25" s="1530" t="s">
        <v>1321</v>
      </c>
      <c r="E25" s="101" t="s">
        <v>640</v>
      </c>
      <c r="F25" s="1767">
        <f>ROUND(849*Belarus*(1-D57),2)</f>
        <v>849</v>
      </c>
      <c r="G25" s="1769">
        <f>ROUND(F25/0.54,0)</f>
        <v>1572</v>
      </c>
      <c r="I25" s="1931"/>
      <c r="J25" s="1418" t="s">
        <v>1322</v>
      </c>
      <c r="K25" s="1420"/>
      <c r="L25" s="1765" t="s">
        <v>1323</v>
      </c>
      <c r="M25" s="1766" t="s">
        <v>640</v>
      </c>
      <c r="N25" s="1769">
        <f>ROUND(989*Belarus*(1-$F$57),2)</f>
        <v>989</v>
      </c>
    </row>
    <row r="26" spans="1:14" ht="30" customHeight="1">
      <c r="A26" s="1932"/>
      <c r="B26" s="1351" t="s">
        <v>1324</v>
      </c>
      <c r="C26" s="1351"/>
      <c r="D26" s="1530"/>
      <c r="E26" s="101" t="s">
        <v>640</v>
      </c>
      <c r="F26" s="1768"/>
      <c r="G26" s="1770"/>
      <c r="I26" s="1932"/>
      <c r="J26" s="1424"/>
      <c r="K26" s="1426"/>
      <c r="L26" s="1455"/>
      <c r="M26" s="1443"/>
      <c r="N26" s="1770"/>
    </row>
    <row r="27" spans="1:14" ht="21" customHeight="1">
      <c r="A27" s="1933"/>
      <c r="B27" s="1351" t="s">
        <v>1325</v>
      </c>
      <c r="C27" s="1351"/>
      <c r="D27" s="1530"/>
      <c r="E27" s="101" t="s">
        <v>640</v>
      </c>
      <c r="F27" s="299">
        <f>ROUND(1026*Belarus*(1-D57),2)</f>
        <v>1026</v>
      </c>
      <c r="G27" s="235">
        <f>ROUND(F27/0.54,0)</f>
        <v>1900</v>
      </c>
      <c r="I27" s="1933"/>
      <c r="J27" s="1351" t="s">
        <v>1326</v>
      </c>
      <c r="K27" s="1351"/>
      <c r="L27" s="1456"/>
      <c r="M27" s="101" t="s">
        <v>640</v>
      </c>
      <c r="N27" s="235">
        <f>ROUND(1254*Belarus*(1-$F$57),2)</f>
        <v>1254</v>
      </c>
    </row>
    <row r="28" spans="1:14" ht="63.75" customHeight="1">
      <c r="A28" s="97"/>
      <c r="B28" s="1351" t="s">
        <v>1327</v>
      </c>
      <c r="C28" s="1351"/>
      <c r="D28" s="103" t="s">
        <v>1328</v>
      </c>
      <c r="E28" s="101" t="s">
        <v>640</v>
      </c>
      <c r="F28" s="299">
        <f>ROUND(1026*Belarus*(1-D57),2)</f>
        <v>1026</v>
      </c>
      <c r="G28" s="235">
        <f>ROUND(F28/0.47,0)</f>
        <v>2183</v>
      </c>
      <c r="I28" s="97"/>
      <c r="J28" s="1409" t="s">
        <v>1329</v>
      </c>
      <c r="K28" s="1411"/>
      <c r="L28" s="103" t="s">
        <v>1323</v>
      </c>
      <c r="M28" s="101" t="s">
        <v>640</v>
      </c>
      <c r="N28" s="235">
        <f>ROUND(1404*Belarus*(1-$F$57),2)</f>
        <v>1404</v>
      </c>
    </row>
    <row r="29" spans="1:14" ht="27.75" customHeight="1">
      <c r="A29" s="1931"/>
      <c r="B29" s="1351" t="s">
        <v>1330</v>
      </c>
      <c r="C29" s="1351"/>
      <c r="D29" s="1530" t="s">
        <v>1331</v>
      </c>
      <c r="E29" s="101" t="s">
        <v>640</v>
      </c>
      <c r="F29" s="1935">
        <f>ROUND(1233*Belarus*(1-$F$57),2)</f>
        <v>1233</v>
      </c>
      <c r="G29" s="1936"/>
      <c r="I29" s="1618"/>
      <c r="J29" s="1409" t="s">
        <v>1332</v>
      </c>
      <c r="K29" s="1411"/>
      <c r="L29" s="1765" t="s">
        <v>1283</v>
      </c>
      <c r="M29" s="101" t="s">
        <v>640</v>
      </c>
      <c r="N29" s="235">
        <f>ROUND(630*Belarus*(1-$F$57),2)</f>
        <v>630</v>
      </c>
    </row>
    <row r="30" spans="1:14" ht="19.5" customHeight="1">
      <c r="A30" s="1933"/>
      <c r="B30" s="1351" t="s">
        <v>1333</v>
      </c>
      <c r="C30" s="1351"/>
      <c r="D30" s="1530"/>
      <c r="E30" s="101" t="s">
        <v>640</v>
      </c>
      <c r="F30" s="1935">
        <f>ROUND(1563*Belarus*(1-$F$57),2)</f>
        <v>1563</v>
      </c>
      <c r="G30" s="1936"/>
      <c r="I30" s="1618"/>
      <c r="J30" s="1409" t="s">
        <v>1334</v>
      </c>
      <c r="K30" s="1411"/>
      <c r="L30" s="1456"/>
      <c r="M30" s="101" t="s">
        <v>640</v>
      </c>
      <c r="N30" s="235">
        <f>ROUND(796*Belarus*(1-$F$57),2)</f>
        <v>796</v>
      </c>
    </row>
    <row r="31" spans="1:14" ht="28.5" customHeight="1">
      <c r="A31" s="1931"/>
      <c r="B31" s="1351" t="s">
        <v>1335</v>
      </c>
      <c r="C31" s="1351"/>
      <c r="D31" s="1530" t="s">
        <v>1336</v>
      </c>
      <c r="E31" s="101" t="s">
        <v>640</v>
      </c>
      <c r="F31" s="1935">
        <f>ROUND(797*Belarus*(1-$F$57),2)</f>
        <v>797</v>
      </c>
      <c r="G31" s="1936"/>
      <c r="I31" s="1462" t="s">
        <v>1337</v>
      </c>
      <c r="J31" s="1463"/>
      <c r="K31" s="1463"/>
      <c r="L31" s="1463"/>
      <c r="M31" s="1463"/>
      <c r="N31" s="1464"/>
    </row>
    <row r="32" spans="1:14" ht="18" customHeight="1">
      <c r="A32" s="1933"/>
      <c r="B32" s="1351" t="s">
        <v>1338</v>
      </c>
      <c r="C32" s="1351"/>
      <c r="D32" s="1530"/>
      <c r="E32" s="101" t="s">
        <v>640</v>
      </c>
      <c r="F32" s="1935">
        <f>ROUND(1013*Belarus*(1-$F$57),2)</f>
        <v>1013</v>
      </c>
      <c r="G32" s="1936"/>
      <c r="H32" s="298"/>
      <c r="I32" s="1937"/>
      <c r="J32" s="1409" t="s">
        <v>1339</v>
      </c>
      <c r="K32" s="1411"/>
      <c r="L32" s="283" t="s">
        <v>1340</v>
      </c>
      <c r="M32" s="105" t="s">
        <v>640</v>
      </c>
      <c r="N32" s="235">
        <f>ROUND(943*Belarus*(1-$I$57),2)</f>
        <v>943</v>
      </c>
    </row>
    <row r="33" spans="1:14" ht="28.5" customHeight="1">
      <c r="A33" s="1931"/>
      <c r="B33" s="1351" t="s">
        <v>1341</v>
      </c>
      <c r="C33" s="1351"/>
      <c r="D33" s="1530" t="s">
        <v>1342</v>
      </c>
      <c r="E33" s="101" t="s">
        <v>640</v>
      </c>
      <c r="F33" s="1935">
        <f>ROUND(2156*Belarus*(1-$F$57),2)</f>
        <v>2156</v>
      </c>
      <c r="G33" s="1936"/>
      <c r="H33" s="298"/>
      <c r="I33" s="1938"/>
      <c r="J33" s="1409" t="s">
        <v>1343</v>
      </c>
      <c r="K33" s="1411"/>
      <c r="L33" s="103" t="s">
        <v>1344</v>
      </c>
      <c r="M33" s="101" t="s">
        <v>640</v>
      </c>
      <c r="N33" s="235">
        <f>ROUND(839*Belarus*(1-$I$57),2)</f>
        <v>839</v>
      </c>
    </row>
    <row r="34" spans="1:14" ht="20.25" customHeight="1">
      <c r="A34" s="1933"/>
      <c r="B34" s="1351" t="s">
        <v>1345</v>
      </c>
      <c r="C34" s="1351"/>
      <c r="D34" s="1530"/>
      <c r="E34" s="101" t="s">
        <v>640</v>
      </c>
      <c r="F34" s="1935">
        <f>ROUND(2731*Belarus*(1-$F$57),2)</f>
        <v>2731</v>
      </c>
      <c r="G34" s="1936"/>
      <c r="H34" s="298"/>
      <c r="I34" s="1938"/>
      <c r="J34" s="1351" t="s">
        <v>1346</v>
      </c>
      <c r="K34" s="1351"/>
      <c r="L34" s="103" t="s">
        <v>1190</v>
      </c>
      <c r="M34" s="101" t="s">
        <v>640</v>
      </c>
      <c r="N34" s="235">
        <f>ROUND(449*Belarus*(1-$I$57),2)</f>
        <v>449</v>
      </c>
    </row>
    <row r="35" spans="1:14" ht="26.25" customHeight="1">
      <c r="A35" s="1931"/>
      <c r="B35" s="1351" t="s">
        <v>1347</v>
      </c>
      <c r="C35" s="1351"/>
      <c r="D35" s="1530" t="s">
        <v>1348</v>
      </c>
      <c r="E35" s="101" t="s">
        <v>640</v>
      </c>
      <c r="F35" s="1935">
        <f>ROUND(1081*Belarus*(1-$F$57),2)</f>
        <v>1081</v>
      </c>
      <c r="G35" s="1936"/>
      <c r="H35" s="298"/>
      <c r="I35" s="1939"/>
      <c r="J35" s="1351" t="s">
        <v>1349</v>
      </c>
      <c r="K35" s="1351"/>
      <c r="L35" s="103" t="s">
        <v>1344</v>
      </c>
      <c r="M35" s="101" t="s">
        <v>640</v>
      </c>
      <c r="N35" s="235">
        <f>ROUND(942*Belarus*(1-$I$57),2)</f>
        <v>942</v>
      </c>
    </row>
    <row r="36" spans="1:14" ht="19.5" customHeight="1">
      <c r="A36" s="1933"/>
      <c r="B36" s="1351" t="s">
        <v>1350</v>
      </c>
      <c r="C36" s="1351"/>
      <c r="D36" s="1530"/>
      <c r="E36" s="101" t="s">
        <v>640</v>
      </c>
      <c r="F36" s="1935">
        <f>ROUND(1369*Belarus*(1-$F$57),2)</f>
        <v>1369</v>
      </c>
      <c r="G36" s="1936"/>
      <c r="H36" s="298"/>
      <c r="I36" s="1462" t="s">
        <v>1223</v>
      </c>
      <c r="J36" s="1463"/>
      <c r="K36" s="1463"/>
      <c r="L36" s="1463"/>
      <c r="M36" s="1463"/>
      <c r="N36" s="1464"/>
    </row>
    <row r="37" spans="1:14" ht="27.75" customHeight="1">
      <c r="A37" s="1931"/>
      <c r="B37" s="1351" t="s">
        <v>1351</v>
      </c>
      <c r="C37" s="1351"/>
      <c r="D37" s="1765" t="s">
        <v>1190</v>
      </c>
      <c r="E37" s="101" t="s">
        <v>640</v>
      </c>
      <c r="F37" s="1935">
        <f>ROUND(449*Belarus*(1-$F$57),2)</f>
        <v>449</v>
      </c>
      <c r="G37" s="1936"/>
      <c r="H37" s="298"/>
      <c r="I37" s="1931"/>
      <c r="J37" s="1351" t="s">
        <v>1352</v>
      </c>
      <c r="K37" s="1351"/>
      <c r="L37" s="1765" t="s">
        <v>1190</v>
      </c>
      <c r="M37" s="101" t="s">
        <v>640</v>
      </c>
      <c r="N37" s="235">
        <f>ROUND(5230*Belarus*(1-$F$57),2)</f>
        <v>5230</v>
      </c>
    </row>
    <row r="38" spans="1:14" ht="18.75" customHeight="1">
      <c r="A38" s="1933"/>
      <c r="B38" s="1351" t="s">
        <v>1353</v>
      </c>
      <c r="C38" s="1351"/>
      <c r="D38" s="1456"/>
      <c r="E38" s="101" t="s">
        <v>640</v>
      </c>
      <c r="F38" s="1935">
        <f>ROUND(568*Belarus*(1-$F$57),2)</f>
        <v>568</v>
      </c>
      <c r="G38" s="1936"/>
      <c r="H38" s="298"/>
      <c r="I38" s="1933"/>
      <c r="J38" s="1351" t="s">
        <v>1354</v>
      </c>
      <c r="K38" s="1351"/>
      <c r="L38" s="1456"/>
      <c r="M38" s="101" t="s">
        <v>640</v>
      </c>
      <c r="N38" s="235">
        <f>ROUND(6627*Belarus*(1-$F$57),2)</f>
        <v>6627</v>
      </c>
    </row>
    <row r="39" spans="1:14" ht="26.25" customHeight="1">
      <c r="A39" s="1931"/>
      <c r="B39" s="1351" t="s">
        <v>1355</v>
      </c>
      <c r="C39" s="1351"/>
      <c r="D39" s="1765" t="s">
        <v>1356</v>
      </c>
      <c r="E39" s="101" t="s">
        <v>640</v>
      </c>
      <c r="F39" s="1935">
        <f>ROUND(5178*Belarus*(1-$F$57),2)</f>
        <v>5178</v>
      </c>
      <c r="G39" s="1936"/>
      <c r="H39" s="298"/>
      <c r="I39" s="1937"/>
      <c r="J39" s="1351" t="s">
        <v>1357</v>
      </c>
      <c r="K39" s="1351"/>
      <c r="L39" s="1765" t="s">
        <v>1358</v>
      </c>
      <c r="M39" s="101" t="s">
        <v>640</v>
      </c>
      <c r="N39" s="235">
        <f>ROUND(2600*Belarus*(1-$K$57),2)</f>
        <v>2600</v>
      </c>
    </row>
    <row r="40" spans="1:14" ht="26.25" customHeight="1">
      <c r="A40" s="1933"/>
      <c r="B40" s="1351" t="s">
        <v>1359</v>
      </c>
      <c r="C40" s="1351"/>
      <c r="D40" s="1456"/>
      <c r="E40" s="101" t="s">
        <v>640</v>
      </c>
      <c r="F40" s="1935">
        <f>ROUND(6558*Belarus*(1-$F$57),2)</f>
        <v>6558</v>
      </c>
      <c r="G40" s="1936"/>
      <c r="H40" s="298"/>
      <c r="I40" s="1939"/>
      <c r="J40" s="1351" t="s">
        <v>1360</v>
      </c>
      <c r="K40" s="1351"/>
      <c r="L40" s="1456"/>
      <c r="M40" s="101" t="s">
        <v>640</v>
      </c>
      <c r="N40" s="235">
        <f>ROUND(4900*Belarus*(1-$K$57),2)</f>
        <v>4900</v>
      </c>
    </row>
    <row r="41" spans="1:14" ht="26.25" customHeight="1">
      <c r="A41" s="1931"/>
      <c r="B41" s="1351" t="s">
        <v>1361</v>
      </c>
      <c r="C41" s="1351"/>
      <c r="D41" s="1765" t="s">
        <v>1190</v>
      </c>
      <c r="E41" s="101" t="s">
        <v>640</v>
      </c>
      <c r="F41" s="1935">
        <f>ROUND(6061*Belarus*(1-$F$57),2)</f>
        <v>6061</v>
      </c>
      <c r="G41" s="1936"/>
      <c r="H41" s="298"/>
      <c r="I41" s="1931"/>
      <c r="J41" s="1409" t="s">
        <v>1362</v>
      </c>
      <c r="K41" s="1411"/>
      <c r="L41" s="101" t="s">
        <v>1363</v>
      </c>
      <c r="M41" s="101" t="s">
        <v>640</v>
      </c>
      <c r="N41" s="235">
        <f>ROUND(472*Belarus*(1-$F$57),2)</f>
        <v>472</v>
      </c>
    </row>
    <row r="42" spans="1:14" ht="19.5" customHeight="1">
      <c r="A42" s="1933"/>
      <c r="B42" s="1351" t="s">
        <v>1364</v>
      </c>
      <c r="C42" s="1351"/>
      <c r="D42" s="1456"/>
      <c r="E42" s="101" t="s">
        <v>640</v>
      </c>
      <c r="F42" s="1935">
        <f>ROUND(7675*Belarus*(1-$F$57),2)</f>
        <v>7675</v>
      </c>
      <c r="G42" s="1936"/>
      <c r="H42" s="298"/>
      <c r="I42" s="1932"/>
      <c r="J42" s="1409" t="s">
        <v>1365</v>
      </c>
      <c r="K42" s="1411"/>
      <c r="L42" s="101" t="s">
        <v>1363</v>
      </c>
      <c r="M42" s="101" t="s">
        <v>640</v>
      </c>
      <c r="N42" s="235">
        <f>ROUND(597*Belarus*(1-$F$57),2)</f>
        <v>597</v>
      </c>
    </row>
    <row r="43" spans="1:14" ht="26.25" customHeight="1">
      <c r="A43" s="1931"/>
      <c r="B43" s="1351" t="s">
        <v>1366</v>
      </c>
      <c r="C43" s="1351"/>
      <c r="D43" s="1765" t="s">
        <v>1367</v>
      </c>
      <c r="E43" s="101" t="s">
        <v>640</v>
      </c>
      <c r="F43" s="1935">
        <f>ROUND(6062*Belarus*(1-$F$57),2)</f>
        <v>6062</v>
      </c>
      <c r="G43" s="1936"/>
      <c r="H43" s="298"/>
      <c r="I43" s="1932"/>
      <c r="J43" s="1409" t="s">
        <v>1368</v>
      </c>
      <c r="K43" s="1411"/>
      <c r="L43" s="101" t="s">
        <v>1369</v>
      </c>
      <c r="M43" s="101" t="s">
        <v>640</v>
      </c>
      <c r="N43" s="235">
        <f>ROUND(472*Belarus*(1-$F$57),2)</f>
        <v>472</v>
      </c>
    </row>
    <row r="44" spans="1:14" ht="21" customHeight="1">
      <c r="A44" s="1933"/>
      <c r="B44" s="1351" t="s">
        <v>1370</v>
      </c>
      <c r="C44" s="1351"/>
      <c r="D44" s="1456"/>
      <c r="E44" s="101" t="s">
        <v>640</v>
      </c>
      <c r="F44" s="1935">
        <f>ROUND(7675*Belarus*(1-$F$57),2)</f>
        <v>7675</v>
      </c>
      <c r="G44" s="1936"/>
      <c r="H44" s="298"/>
      <c r="I44" s="1933"/>
      <c r="J44" s="1351" t="s">
        <v>1371</v>
      </c>
      <c r="K44" s="1351"/>
      <c r="L44" s="101" t="s">
        <v>1372</v>
      </c>
      <c r="M44" s="101" t="s">
        <v>1373</v>
      </c>
      <c r="N44" s="235">
        <f>ROUND(5220*Belarus*(1-$F$57),2)</f>
        <v>5220</v>
      </c>
    </row>
    <row r="45" spans="1:14" ht="27.75" customHeight="1">
      <c r="A45" s="1931"/>
      <c r="B45" s="1351" t="s">
        <v>1374</v>
      </c>
      <c r="C45" s="1351"/>
      <c r="D45" s="1530" t="s">
        <v>1291</v>
      </c>
      <c r="E45" s="1766" t="s">
        <v>640</v>
      </c>
      <c r="F45" s="1935">
        <f>ROUND(1074*Belarus*(1-$F$57),2)</f>
        <v>1074</v>
      </c>
      <c r="G45" s="1936"/>
      <c r="H45" s="298"/>
      <c r="I45" s="1922" t="s">
        <v>1098</v>
      </c>
      <c r="J45" s="1923"/>
      <c r="K45" s="1923"/>
      <c r="L45" s="1923"/>
      <c r="M45" s="1923"/>
      <c r="N45" s="1924"/>
    </row>
    <row r="46" spans="1:14" ht="17.25" customHeight="1">
      <c r="A46" s="1933"/>
      <c r="B46" s="1351" t="s">
        <v>1375</v>
      </c>
      <c r="C46" s="1351"/>
      <c r="D46" s="1530"/>
      <c r="E46" s="1443"/>
      <c r="F46" s="1935">
        <f>ROUND(1362*Belarus*(1-$F$57),2)</f>
        <v>1362</v>
      </c>
      <c r="G46" s="1936"/>
      <c r="H46" s="298"/>
      <c r="I46" s="1409" t="s">
        <v>6925</v>
      </c>
      <c r="J46" s="1411"/>
      <c r="K46" s="1418" t="s">
        <v>1099</v>
      </c>
      <c r="L46" s="1420"/>
      <c r="M46" s="101" t="s">
        <v>640</v>
      </c>
      <c r="N46" s="235">
        <f>ROUND(7630*Belarus*(1-$J$57),2)</f>
        <v>7630</v>
      </c>
    </row>
    <row r="47" spans="1:14" ht="12.75" customHeight="1">
      <c r="A47" s="1786" t="s">
        <v>1376</v>
      </c>
      <c r="B47" s="1787"/>
      <c r="C47" s="1787"/>
      <c r="D47" s="1787"/>
      <c r="E47" s="1787"/>
      <c r="F47" s="1787"/>
      <c r="G47" s="1788"/>
      <c r="H47" s="298"/>
      <c r="I47" s="1409" t="s">
        <v>1100</v>
      </c>
      <c r="J47" s="1411"/>
      <c r="K47" s="1424"/>
      <c r="L47" s="1426"/>
      <c r="M47" s="101" t="s">
        <v>640</v>
      </c>
      <c r="N47" s="235">
        <f>ROUND(9700*Belarus*(1-$J$57),2)</f>
        <v>9700</v>
      </c>
    </row>
    <row r="48" spans="1:14">
      <c r="A48" s="1789"/>
      <c r="B48" s="1790"/>
      <c r="C48" s="1790"/>
      <c r="D48" s="1790"/>
      <c r="E48" s="1790"/>
      <c r="F48" s="1790"/>
      <c r="G48" s="1791"/>
      <c r="H48" s="298"/>
      <c r="I48" s="1351" t="s">
        <v>794</v>
      </c>
      <c r="J48" s="1351"/>
      <c r="K48" s="1351" t="s">
        <v>1103</v>
      </c>
      <c r="L48" s="1351"/>
      <c r="M48" s="101" t="s">
        <v>640</v>
      </c>
      <c r="N48" s="235">
        <f>ROUND(4290*Belarus*(1-$J$57),2)</f>
        <v>4290</v>
      </c>
    </row>
    <row r="49" spans="1:14" ht="21" customHeight="1">
      <c r="A49" s="1786" t="s">
        <v>1377</v>
      </c>
      <c r="B49" s="1787"/>
      <c r="C49" s="1787"/>
      <c r="D49" s="1787"/>
      <c r="E49" s="1787"/>
      <c r="F49" s="1787"/>
      <c r="G49" s="1788"/>
      <c r="H49" s="298"/>
      <c r="I49" s="1351" t="s">
        <v>1104</v>
      </c>
      <c r="J49" s="1351"/>
      <c r="K49" s="1351" t="s">
        <v>1105</v>
      </c>
      <c r="L49" s="1351"/>
      <c r="M49" s="101" t="s">
        <v>640</v>
      </c>
      <c r="N49" s="235">
        <f>ROUND(2468*Belarus*(1-$J$57),2)</f>
        <v>2468</v>
      </c>
    </row>
    <row r="50" spans="1:14" ht="21.75" customHeight="1">
      <c r="A50" s="1789"/>
      <c r="B50" s="1790"/>
      <c r="C50" s="1790"/>
      <c r="D50" s="1790"/>
      <c r="E50" s="1790"/>
      <c r="F50" s="1790"/>
      <c r="G50" s="1791"/>
      <c r="H50" s="298"/>
      <c r="I50" s="1351" t="s">
        <v>1378</v>
      </c>
      <c r="J50" s="1351"/>
      <c r="K50" s="1351" t="s">
        <v>1379</v>
      </c>
      <c r="L50" s="1351"/>
      <c r="M50" s="101" t="s">
        <v>640</v>
      </c>
      <c r="N50" s="235">
        <f>ROUND(613*Belarus*(1-$F$57),2)</f>
        <v>613</v>
      </c>
    </row>
    <row r="51" spans="1:14" ht="17.25" customHeight="1">
      <c r="A51" s="1779" t="s">
        <v>1220</v>
      </c>
      <c r="B51" s="1780"/>
      <c r="C51" s="1780"/>
      <c r="D51" s="1780"/>
      <c r="E51" s="1780"/>
      <c r="F51" s="1780"/>
      <c r="G51" s="1781"/>
      <c r="H51" s="298"/>
      <c r="I51" s="1351" t="s">
        <v>1380</v>
      </c>
      <c r="J51" s="1351"/>
      <c r="K51" s="1351"/>
      <c r="L51" s="1351"/>
      <c r="M51" s="101" t="s">
        <v>640</v>
      </c>
      <c r="N51" s="235">
        <f>ROUND(869*Belarus*(1-$F$57),2)</f>
        <v>869</v>
      </c>
    </row>
    <row r="56" spans="1:14" ht="41.25" customHeight="1">
      <c r="A56" s="1888" t="s">
        <v>508</v>
      </c>
      <c r="B56" s="141" t="s">
        <v>1381</v>
      </c>
      <c r="C56" s="143" t="s">
        <v>6326</v>
      </c>
      <c r="D56" s="1342" t="s">
        <v>1382</v>
      </c>
      <c r="E56" s="1343"/>
      <c r="F56" s="1342" t="s">
        <v>1130</v>
      </c>
      <c r="G56" s="1940"/>
      <c r="H56" s="1343"/>
      <c r="I56" s="141" t="s">
        <v>1383</v>
      </c>
      <c r="J56" s="141" t="s">
        <v>152</v>
      </c>
      <c r="K56" s="141" t="s">
        <v>1224</v>
      </c>
    </row>
    <row r="57" spans="1:14">
      <c r="A57" s="1889"/>
      <c r="B57" s="129">
        <v>0</v>
      </c>
      <c r="C57" s="148">
        <v>0</v>
      </c>
      <c r="D57" s="1661">
        <v>0</v>
      </c>
      <c r="E57" s="1662"/>
      <c r="F57" s="1661">
        <v>0</v>
      </c>
      <c r="G57" s="1669"/>
      <c r="H57" s="1662"/>
      <c r="I57" s="129">
        <v>0</v>
      </c>
      <c r="J57" s="129">
        <v>0</v>
      </c>
      <c r="K57" s="129">
        <v>0</v>
      </c>
    </row>
  </sheetData>
  <mergeCells count="201">
    <mergeCell ref="A51:G51"/>
    <mergeCell ref="I51:J51"/>
    <mergeCell ref="K51:L51"/>
    <mergeCell ref="A56:A57"/>
    <mergeCell ref="D56:E56"/>
    <mergeCell ref="F56:H56"/>
    <mergeCell ref="D57:E57"/>
    <mergeCell ref="F57:H57"/>
    <mergeCell ref="K46:L47"/>
    <mergeCell ref="A47:G48"/>
    <mergeCell ref="I47:J47"/>
    <mergeCell ref="I48:J48"/>
    <mergeCell ref="K48:L48"/>
    <mergeCell ref="A49:G50"/>
    <mergeCell ref="I49:J49"/>
    <mergeCell ref="K49:L49"/>
    <mergeCell ref="I50:J50"/>
    <mergeCell ref="K50:L50"/>
    <mergeCell ref="J44:K44"/>
    <mergeCell ref="A45:A46"/>
    <mergeCell ref="B45:C45"/>
    <mergeCell ref="D45:D46"/>
    <mergeCell ref="E45:E46"/>
    <mergeCell ref="F45:G45"/>
    <mergeCell ref="I45:N45"/>
    <mergeCell ref="B46:C46"/>
    <mergeCell ref="F46:G46"/>
    <mergeCell ref="I46:J46"/>
    <mergeCell ref="B42:C42"/>
    <mergeCell ref="F42:G42"/>
    <mergeCell ref="J42:K42"/>
    <mergeCell ref="A43:A44"/>
    <mergeCell ref="B43:C43"/>
    <mergeCell ref="D43:D44"/>
    <mergeCell ref="F43:G43"/>
    <mergeCell ref="J43:K43"/>
    <mergeCell ref="B44:C44"/>
    <mergeCell ref="F44:G44"/>
    <mergeCell ref="L39:L40"/>
    <mergeCell ref="B40:C40"/>
    <mergeCell ref="F40:G40"/>
    <mergeCell ref="J40:K40"/>
    <mergeCell ref="A41:A42"/>
    <mergeCell ref="B41:C41"/>
    <mergeCell ref="D41:D42"/>
    <mergeCell ref="F41:G41"/>
    <mergeCell ref="I41:I44"/>
    <mergeCell ref="J41:K41"/>
    <mergeCell ref="L37:L38"/>
    <mergeCell ref="B38:C38"/>
    <mergeCell ref="F38:G38"/>
    <mergeCell ref="J38:K38"/>
    <mergeCell ref="A39:A40"/>
    <mergeCell ref="B39:C39"/>
    <mergeCell ref="D39:D40"/>
    <mergeCell ref="F39:G39"/>
    <mergeCell ref="I39:I40"/>
    <mergeCell ref="J39:K39"/>
    <mergeCell ref="A37:A38"/>
    <mergeCell ref="B37:C37"/>
    <mergeCell ref="D37:D38"/>
    <mergeCell ref="F37:G37"/>
    <mergeCell ref="I37:I38"/>
    <mergeCell ref="J37:K37"/>
    <mergeCell ref="J34:K34"/>
    <mergeCell ref="A35:A36"/>
    <mergeCell ref="B35:C35"/>
    <mergeCell ref="D35:D36"/>
    <mergeCell ref="F35:G35"/>
    <mergeCell ref="J35:K35"/>
    <mergeCell ref="B36:C36"/>
    <mergeCell ref="F36:G36"/>
    <mergeCell ref="I36:N36"/>
    <mergeCell ref="F32:G32"/>
    <mergeCell ref="I32:I35"/>
    <mergeCell ref="J32:K32"/>
    <mergeCell ref="A33:A34"/>
    <mergeCell ref="B33:C33"/>
    <mergeCell ref="D33:D34"/>
    <mergeCell ref="F33:G33"/>
    <mergeCell ref="J33:K33"/>
    <mergeCell ref="B34:C34"/>
    <mergeCell ref="F34:G34"/>
    <mergeCell ref="L29:L30"/>
    <mergeCell ref="B30:C30"/>
    <mergeCell ref="F30:G30"/>
    <mergeCell ref="J30:K30"/>
    <mergeCell ref="A31:A32"/>
    <mergeCell ref="B31:C31"/>
    <mergeCell ref="D31:D32"/>
    <mergeCell ref="F31:G31"/>
    <mergeCell ref="I31:N31"/>
    <mergeCell ref="B32:C32"/>
    <mergeCell ref="B28:C28"/>
    <mergeCell ref="J28:K28"/>
    <mergeCell ref="A29:A30"/>
    <mergeCell ref="B29:C29"/>
    <mergeCell ref="D29:D30"/>
    <mergeCell ref="F29:G29"/>
    <mergeCell ref="I29:I30"/>
    <mergeCell ref="J29:K29"/>
    <mergeCell ref="J25:K26"/>
    <mergeCell ref="L25:L27"/>
    <mergeCell ref="M25:M26"/>
    <mergeCell ref="N25:N26"/>
    <mergeCell ref="B26:C26"/>
    <mergeCell ref="B27:C27"/>
    <mergeCell ref="J27:K27"/>
    <mergeCell ref="A25:A27"/>
    <mergeCell ref="B25:C25"/>
    <mergeCell ref="D25:D27"/>
    <mergeCell ref="F25:F26"/>
    <mergeCell ref="G25:G26"/>
    <mergeCell ref="I25:I27"/>
    <mergeCell ref="J22:K23"/>
    <mergeCell ref="L22:L24"/>
    <mergeCell ref="M22:M23"/>
    <mergeCell ref="N22:N23"/>
    <mergeCell ref="B23:C23"/>
    <mergeCell ref="B24:C24"/>
    <mergeCell ref="J24:K24"/>
    <mergeCell ref="A22:A24"/>
    <mergeCell ref="B22:C22"/>
    <mergeCell ref="D22:D24"/>
    <mergeCell ref="F22:F23"/>
    <mergeCell ref="G22:G23"/>
    <mergeCell ref="I22:I24"/>
    <mergeCell ref="A20:A21"/>
    <mergeCell ref="B20:C20"/>
    <mergeCell ref="D20:D21"/>
    <mergeCell ref="I20:I21"/>
    <mergeCell ref="J20:K20"/>
    <mergeCell ref="L20:L21"/>
    <mergeCell ref="B21:C21"/>
    <mergeCell ref="J21:K21"/>
    <mergeCell ref="A18:A19"/>
    <mergeCell ref="B18:C18"/>
    <mergeCell ref="D18:D19"/>
    <mergeCell ref="I18:I19"/>
    <mergeCell ref="J18:K18"/>
    <mergeCell ref="L18:L19"/>
    <mergeCell ref="B19:C19"/>
    <mergeCell ref="J19:K19"/>
    <mergeCell ref="L15:L17"/>
    <mergeCell ref="M15:M16"/>
    <mergeCell ref="N15:N16"/>
    <mergeCell ref="B16:C16"/>
    <mergeCell ref="B17:C17"/>
    <mergeCell ref="J17:K17"/>
    <mergeCell ref="B14:C14"/>
    <mergeCell ref="J14:K14"/>
    <mergeCell ref="A15:A17"/>
    <mergeCell ref="B15:C15"/>
    <mergeCell ref="D15:D17"/>
    <mergeCell ref="F15:F16"/>
    <mergeCell ref="G15:G16"/>
    <mergeCell ref="I15:I17"/>
    <mergeCell ref="J15:K16"/>
    <mergeCell ref="N10:N11"/>
    <mergeCell ref="B11:C11"/>
    <mergeCell ref="A12:A14"/>
    <mergeCell ref="B12:C12"/>
    <mergeCell ref="D12:D14"/>
    <mergeCell ref="J12:K12"/>
    <mergeCell ref="B13:C13"/>
    <mergeCell ref="I13:I14"/>
    <mergeCell ref="J13:K13"/>
    <mergeCell ref="L13:L14"/>
    <mergeCell ref="J9:K9"/>
    <mergeCell ref="B10:C10"/>
    <mergeCell ref="I10:I12"/>
    <mergeCell ref="J10:K11"/>
    <mergeCell ref="L10:L12"/>
    <mergeCell ref="M10:M11"/>
    <mergeCell ref="A7:A11"/>
    <mergeCell ref="B7:C7"/>
    <mergeCell ref="D7:D11"/>
    <mergeCell ref="B8:C8"/>
    <mergeCell ref="F8:F10"/>
    <mergeCell ref="G8:G10"/>
    <mergeCell ref="B9:C9"/>
    <mergeCell ref="J4:K5"/>
    <mergeCell ref="L4:L5"/>
    <mergeCell ref="M4:M5"/>
    <mergeCell ref="N4:N5"/>
    <mergeCell ref="A6:G6"/>
    <mergeCell ref="I6:I9"/>
    <mergeCell ref="J6:K8"/>
    <mergeCell ref="L6:L9"/>
    <mergeCell ref="M6:M8"/>
    <mergeCell ref="N6:N8"/>
    <mergeCell ref="A1:D1"/>
    <mergeCell ref="A2:J2"/>
    <mergeCell ref="M2:N2"/>
    <mergeCell ref="M3:N3"/>
    <mergeCell ref="A4:A5"/>
    <mergeCell ref="B4:C5"/>
    <mergeCell ref="D4:D5"/>
    <mergeCell ref="E4:E5"/>
    <mergeCell ref="F4:G4"/>
    <mergeCell ref="I4:I5"/>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48" orientation="landscape" horizontalDpi="300" verticalDpi="300" r:id="rId1"/>
  <headerFooter scaleWithDoc="0">
    <oddHeader xml:space="preserve">&amp;L&amp;G&amp;R&amp;5Центр поддержки клиентов Grand Line: +7 (495) 748-38-38
cайт: www.grandline.ru   </oddHeader>
    <oddFooter>&amp;R&amp;5Страница 13</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P51"/>
  <sheetViews>
    <sheetView zoomScale="70" zoomScaleNormal="70" workbookViewId="0">
      <selection sqref="A1:D1"/>
    </sheetView>
  </sheetViews>
  <sheetFormatPr defaultRowHeight="12.75"/>
  <cols>
    <col min="1" max="1" width="15.28515625" style="1" customWidth="1"/>
    <col min="2" max="2" width="24.85546875" style="1" customWidth="1"/>
    <col min="3" max="3" width="11.28515625" style="1" customWidth="1"/>
    <col min="4" max="4" width="19.5703125" style="1" customWidth="1"/>
    <col min="5" max="5" width="11.7109375" style="1" customWidth="1"/>
    <col min="6" max="6" width="19.140625" style="1" customWidth="1"/>
    <col min="7" max="7" width="13.85546875" style="1" customWidth="1"/>
    <col min="8" max="8" width="4.7109375" style="1" customWidth="1"/>
    <col min="9" max="9" width="9.42578125" style="1" customWidth="1"/>
    <col min="10" max="10" width="11.85546875" style="1" customWidth="1"/>
    <col min="11" max="11" width="19.42578125" style="1" customWidth="1"/>
    <col min="12" max="12" width="13.85546875" style="1" customWidth="1"/>
    <col min="13" max="13" width="19.28515625" style="1" customWidth="1"/>
    <col min="14" max="14" width="12.140625" style="1" customWidth="1"/>
    <col min="15" max="15" width="18.85546875" style="1" customWidth="1"/>
    <col min="16" max="16" width="13.7109375" style="1" customWidth="1"/>
    <col min="17" max="16384" width="9.140625" style="1"/>
  </cols>
  <sheetData>
    <row r="1" spans="1:16">
      <c r="A1" s="1666" t="s">
        <v>312</v>
      </c>
      <c r="B1" s="1666"/>
      <c r="C1" s="1666"/>
      <c r="D1" s="1666"/>
    </row>
    <row r="2" spans="1:16" ht="18.75" thickBot="1">
      <c r="A2" s="1273" t="s">
        <v>107</v>
      </c>
      <c r="B2" s="1273"/>
      <c r="C2" s="1273"/>
      <c r="D2" s="1273"/>
      <c r="E2" s="1273"/>
      <c r="F2" s="1273"/>
      <c r="G2" s="1273"/>
      <c r="H2" s="1273"/>
      <c r="I2" s="1273"/>
      <c r="J2" s="1273"/>
      <c r="K2" s="1273"/>
      <c r="L2" s="1273"/>
      <c r="M2" s="746"/>
      <c r="N2" s="746"/>
      <c r="O2" s="735" t="s">
        <v>313</v>
      </c>
      <c r="P2" s="747">
        <v>43252</v>
      </c>
    </row>
    <row r="3" spans="1:16">
      <c r="H3" s="501"/>
      <c r="I3" s="501"/>
      <c r="J3" s="501"/>
      <c r="K3" s="501"/>
      <c r="L3" s="501"/>
      <c r="M3" s="501"/>
      <c r="N3" s="501"/>
      <c r="O3" s="501"/>
      <c r="P3" s="501"/>
    </row>
    <row r="4" spans="1:16" ht="15">
      <c r="A4" s="302" t="s">
        <v>1384</v>
      </c>
      <c r="B4" s="30"/>
      <c r="C4" s="30"/>
      <c r="D4" s="30"/>
      <c r="E4" s="30"/>
      <c r="F4" s="303" t="s">
        <v>1385</v>
      </c>
      <c r="G4" s="304">
        <v>43203</v>
      </c>
      <c r="I4" s="302" t="s">
        <v>1444</v>
      </c>
      <c r="J4" s="302"/>
      <c r="K4" s="303"/>
      <c r="L4" s="303"/>
      <c r="M4" s="303"/>
      <c r="N4" s="303"/>
      <c r="O4" s="303" t="s">
        <v>1385</v>
      </c>
      <c r="P4" s="304">
        <v>43132</v>
      </c>
    </row>
    <row r="5" spans="1:16">
      <c r="A5" s="305"/>
      <c r="B5" s="306"/>
      <c r="C5" s="306"/>
      <c r="D5" s="307"/>
      <c r="E5" s="307"/>
      <c r="F5" s="308" t="s">
        <v>1386</v>
      </c>
      <c r="G5" s="309">
        <v>85</v>
      </c>
      <c r="I5" s="308"/>
      <c r="J5" s="308"/>
      <c r="K5" s="308"/>
      <c r="L5" s="308"/>
      <c r="M5" s="308"/>
      <c r="N5" s="308"/>
      <c r="O5" s="308"/>
      <c r="P5" s="315" t="s">
        <v>1445</v>
      </c>
    </row>
    <row r="6" spans="1:16">
      <c r="A6" s="1949" t="s">
        <v>1405</v>
      </c>
      <c r="B6" s="1968" t="s">
        <v>284</v>
      </c>
      <c r="C6" s="1491" t="s">
        <v>3604</v>
      </c>
      <c r="D6" s="1491"/>
      <c r="E6" s="1491"/>
      <c r="F6" s="1491"/>
      <c r="G6" s="1491"/>
      <c r="I6" s="1969" t="s">
        <v>1405</v>
      </c>
      <c r="J6" s="1970"/>
      <c r="K6" s="1968" t="s">
        <v>284</v>
      </c>
      <c r="L6" s="1491" t="s">
        <v>3604</v>
      </c>
      <c r="M6" s="1491"/>
      <c r="N6" s="1491"/>
      <c r="O6" s="1491"/>
      <c r="P6" s="1491"/>
    </row>
    <row r="7" spans="1:16" ht="12.75" customHeight="1">
      <c r="A7" s="1949"/>
      <c r="B7" s="1968"/>
      <c r="C7" s="247" t="s">
        <v>3546</v>
      </c>
      <c r="D7" s="247" t="s">
        <v>3605</v>
      </c>
      <c r="E7" s="247" t="s">
        <v>3606</v>
      </c>
      <c r="F7" s="247" t="s">
        <v>3607</v>
      </c>
      <c r="G7" s="107" t="s">
        <v>3608</v>
      </c>
      <c r="I7" s="1971"/>
      <c r="J7" s="1972"/>
      <c r="K7" s="1968"/>
      <c r="L7" s="247" t="s">
        <v>3546</v>
      </c>
      <c r="M7" s="247" t="s">
        <v>3605</v>
      </c>
      <c r="N7" s="247" t="s">
        <v>3606</v>
      </c>
      <c r="O7" s="247" t="s">
        <v>3607</v>
      </c>
      <c r="P7" s="107" t="s">
        <v>3608</v>
      </c>
    </row>
    <row r="8" spans="1:16">
      <c r="A8" s="1953" t="s">
        <v>1387</v>
      </c>
      <c r="B8" s="122" t="s">
        <v>1393</v>
      </c>
      <c r="C8" s="1954">
        <f>39.9*Belarus</f>
        <v>39.9</v>
      </c>
      <c r="D8" s="1955"/>
      <c r="E8" s="1956"/>
      <c r="F8" s="236">
        <f t="shared" ref="F8:G10" si="0">39.9*Belarus</f>
        <v>39.9</v>
      </c>
      <c r="G8" s="236">
        <f t="shared" si="0"/>
        <v>39.9</v>
      </c>
      <c r="I8" s="1959" t="s">
        <v>3623</v>
      </c>
      <c r="J8" s="1960"/>
      <c r="K8" s="198" t="s">
        <v>1446</v>
      </c>
      <c r="L8" s="1965">
        <v>50</v>
      </c>
      <c r="M8" s="1966"/>
      <c r="N8" s="1967"/>
      <c r="O8" s="316" t="s">
        <v>3624</v>
      </c>
      <c r="P8" s="316" t="s">
        <v>369</v>
      </c>
    </row>
    <row r="9" spans="1:16">
      <c r="A9" s="1953"/>
      <c r="B9" s="122" t="s">
        <v>1395</v>
      </c>
      <c r="C9" s="1954">
        <f>39.9*Belarus</f>
        <v>39.9</v>
      </c>
      <c r="D9" s="1955"/>
      <c r="E9" s="1956"/>
      <c r="F9" s="236">
        <f t="shared" si="0"/>
        <v>39.9</v>
      </c>
      <c r="G9" s="236">
        <f t="shared" si="0"/>
        <v>39.9</v>
      </c>
      <c r="I9" s="1961"/>
      <c r="J9" s="1962"/>
      <c r="K9" s="198" t="s">
        <v>1447</v>
      </c>
      <c r="L9" s="1965">
        <f>60*Belarus</f>
        <v>60</v>
      </c>
      <c r="M9" s="1966"/>
      <c r="N9" s="1967"/>
      <c r="O9" s="316" t="s">
        <v>3624</v>
      </c>
      <c r="P9" s="316" t="s">
        <v>369</v>
      </c>
    </row>
    <row r="10" spans="1:16" ht="12.75" customHeight="1">
      <c r="A10" s="1953"/>
      <c r="B10" s="122" t="s">
        <v>568</v>
      </c>
      <c r="C10" s="1954">
        <f>39.9*Belarus</f>
        <v>39.9</v>
      </c>
      <c r="D10" s="1955"/>
      <c r="E10" s="1956"/>
      <c r="F10" s="236">
        <f t="shared" si="0"/>
        <v>39.9</v>
      </c>
      <c r="G10" s="236">
        <f t="shared" si="0"/>
        <v>39.9</v>
      </c>
      <c r="I10" s="1961"/>
      <c r="J10" s="1962"/>
      <c r="K10" s="198" t="s">
        <v>1393</v>
      </c>
      <c r="L10" s="1958">
        <f>70*Belarus</f>
        <v>70</v>
      </c>
      <c r="M10" s="1958"/>
      <c r="N10" s="1958"/>
      <c r="O10" s="1958" t="s">
        <v>3624</v>
      </c>
      <c r="P10" s="1958" t="s">
        <v>369</v>
      </c>
    </row>
    <row r="11" spans="1:16" ht="12.75" customHeight="1">
      <c r="A11" s="1953"/>
      <c r="B11" s="122" t="s">
        <v>1397</v>
      </c>
      <c r="C11" s="1954">
        <f>55*Belarus</f>
        <v>55</v>
      </c>
      <c r="D11" s="1955"/>
      <c r="E11" s="1956"/>
      <c r="F11" s="236">
        <f t="shared" ref="F11:G13" si="1">55*Belarus</f>
        <v>55</v>
      </c>
      <c r="G11" s="236">
        <f t="shared" si="1"/>
        <v>55</v>
      </c>
      <c r="I11" s="1961"/>
      <c r="J11" s="1962"/>
      <c r="K11" s="198" t="s">
        <v>1395</v>
      </c>
      <c r="L11" s="1958"/>
      <c r="M11" s="1958"/>
      <c r="N11" s="1958"/>
      <c r="O11" s="1958"/>
      <c r="P11" s="1958"/>
    </row>
    <row r="12" spans="1:16">
      <c r="A12" s="1953"/>
      <c r="B12" s="122" t="s">
        <v>1394</v>
      </c>
      <c r="C12" s="1954">
        <f>55*Belarus</f>
        <v>55</v>
      </c>
      <c r="D12" s="1955"/>
      <c r="E12" s="1956"/>
      <c r="F12" s="236">
        <f t="shared" si="1"/>
        <v>55</v>
      </c>
      <c r="G12" s="236">
        <f t="shared" si="1"/>
        <v>55</v>
      </c>
      <c r="I12" s="1961"/>
      <c r="J12" s="1962"/>
      <c r="K12" s="198" t="s">
        <v>833</v>
      </c>
      <c r="L12" s="1958"/>
      <c r="M12" s="1958"/>
      <c r="N12" s="1958"/>
      <c r="O12" s="1958"/>
      <c r="P12" s="1958"/>
    </row>
    <row r="13" spans="1:16">
      <c r="A13" s="1953"/>
      <c r="B13" s="122" t="s">
        <v>833</v>
      </c>
      <c r="C13" s="1954">
        <f>55*Belarus</f>
        <v>55</v>
      </c>
      <c r="D13" s="1955"/>
      <c r="E13" s="1956"/>
      <c r="F13" s="236">
        <f t="shared" si="1"/>
        <v>55</v>
      </c>
      <c r="G13" s="236">
        <f t="shared" si="1"/>
        <v>55</v>
      </c>
      <c r="I13" s="1961"/>
      <c r="J13" s="1962"/>
      <c r="K13" s="198" t="s">
        <v>737</v>
      </c>
      <c r="L13" s="1958"/>
      <c r="M13" s="1958"/>
      <c r="N13" s="1958"/>
      <c r="O13" s="1958"/>
      <c r="P13" s="1958"/>
    </row>
    <row r="14" spans="1:16">
      <c r="A14" s="1953"/>
      <c r="B14" s="122" t="s">
        <v>737</v>
      </c>
      <c r="C14" s="1954">
        <f>63*Belarus</f>
        <v>63</v>
      </c>
      <c r="D14" s="1955"/>
      <c r="E14" s="1956"/>
      <c r="F14" s="236">
        <f>56*Belarus</f>
        <v>56</v>
      </c>
      <c r="G14" s="236">
        <f>63*Belarus</f>
        <v>63</v>
      </c>
      <c r="I14" s="1961"/>
      <c r="J14" s="1962"/>
      <c r="K14" s="198" t="s">
        <v>3625</v>
      </c>
      <c r="L14" s="1958"/>
      <c r="M14" s="1958"/>
      <c r="N14" s="1958"/>
      <c r="O14" s="1958"/>
      <c r="P14" s="1958"/>
    </row>
    <row r="15" spans="1:16">
      <c r="A15" s="1953" t="s">
        <v>1388</v>
      </c>
      <c r="B15" s="122" t="s">
        <v>1395</v>
      </c>
      <c r="C15" s="1954">
        <f>55*Belarus</f>
        <v>55</v>
      </c>
      <c r="D15" s="1955"/>
      <c r="E15" s="1956"/>
      <c r="F15" s="236">
        <f>55*Belarus</f>
        <v>55</v>
      </c>
      <c r="G15" s="236">
        <f>55*Belarus</f>
        <v>55</v>
      </c>
      <c r="I15" s="1961"/>
      <c r="J15" s="1962"/>
      <c r="K15" s="198" t="s">
        <v>3626</v>
      </c>
      <c r="L15" s="1958"/>
      <c r="M15" s="1958"/>
      <c r="N15" s="1958"/>
      <c r="O15" s="1958"/>
      <c r="P15" s="1958"/>
    </row>
    <row r="16" spans="1:16">
      <c r="A16" s="1953"/>
      <c r="B16" s="122" t="s">
        <v>3627</v>
      </c>
      <c r="C16" s="1954">
        <f>57*Belarus</f>
        <v>57</v>
      </c>
      <c r="D16" s="1955"/>
      <c r="E16" s="1956"/>
      <c r="F16" s="236">
        <f>57*Belarus</f>
        <v>57</v>
      </c>
      <c r="G16" s="236">
        <f>57*Belarus</f>
        <v>57</v>
      </c>
      <c r="I16" s="1961"/>
      <c r="J16" s="1962"/>
      <c r="K16" s="198" t="s">
        <v>1006</v>
      </c>
      <c r="L16" s="1958"/>
      <c r="M16" s="1958"/>
      <c r="N16" s="1958"/>
      <c r="O16" s="1958"/>
      <c r="P16" s="1958"/>
    </row>
    <row r="17" spans="1:16">
      <c r="A17" s="1953"/>
      <c r="B17" s="122" t="s">
        <v>737</v>
      </c>
      <c r="C17" s="1954">
        <f>63*Belarus</f>
        <v>63</v>
      </c>
      <c r="D17" s="1955"/>
      <c r="E17" s="1956"/>
      <c r="F17" s="236">
        <f>63*Belarus</f>
        <v>63</v>
      </c>
      <c r="G17" s="236">
        <f>63*Belarus</f>
        <v>63</v>
      </c>
      <c r="I17" s="1961"/>
      <c r="J17" s="1962"/>
      <c r="K17" s="198" t="s">
        <v>3628</v>
      </c>
      <c r="L17" s="1958">
        <f>80*Belarus</f>
        <v>80</v>
      </c>
      <c r="M17" s="1958"/>
      <c r="N17" s="1958"/>
      <c r="O17" s="1958" t="s">
        <v>3624</v>
      </c>
      <c r="P17" s="1958" t="s">
        <v>369</v>
      </c>
    </row>
    <row r="18" spans="1:16">
      <c r="A18" s="1953"/>
      <c r="B18" s="122" t="s">
        <v>3629</v>
      </c>
      <c r="C18" s="1954">
        <f>69*Belarus</f>
        <v>69</v>
      </c>
      <c r="D18" s="1955"/>
      <c r="E18" s="1956"/>
      <c r="F18" s="236">
        <f>65*Belarus</f>
        <v>65</v>
      </c>
      <c r="G18" s="236">
        <f>69*Belarus</f>
        <v>69</v>
      </c>
      <c r="I18" s="1961"/>
      <c r="J18" s="1962"/>
      <c r="K18" s="279" t="s">
        <v>1398</v>
      </c>
      <c r="L18" s="1958"/>
      <c r="M18" s="1958"/>
      <c r="N18" s="1958"/>
      <c r="O18" s="1958"/>
      <c r="P18" s="1958"/>
    </row>
    <row r="19" spans="1:16">
      <c r="A19" s="1953" t="s">
        <v>1389</v>
      </c>
      <c r="B19" s="122" t="s">
        <v>1397</v>
      </c>
      <c r="C19" s="1954">
        <f>55*Belarus</f>
        <v>55</v>
      </c>
      <c r="D19" s="1955"/>
      <c r="E19" s="1956"/>
      <c r="F19" s="236">
        <f>55*Belarus</f>
        <v>55</v>
      </c>
      <c r="G19" s="236">
        <f>55*Belarus</f>
        <v>55</v>
      </c>
      <c r="I19" s="1961"/>
      <c r="J19" s="1962"/>
      <c r="K19" s="279" t="s">
        <v>1397</v>
      </c>
      <c r="L19" s="1958"/>
      <c r="M19" s="1958"/>
      <c r="N19" s="1958"/>
      <c r="O19" s="1958"/>
      <c r="P19" s="1958"/>
    </row>
    <row r="20" spans="1:16">
      <c r="A20" s="1953"/>
      <c r="B20" s="122" t="s">
        <v>1396</v>
      </c>
      <c r="C20" s="1954">
        <f>69*Belarus</f>
        <v>69</v>
      </c>
      <c r="D20" s="1955"/>
      <c r="E20" s="1956"/>
      <c r="F20" s="236">
        <f>65*Belarus</f>
        <v>65</v>
      </c>
      <c r="G20" s="236">
        <f>69*Belarus</f>
        <v>69</v>
      </c>
      <c r="I20" s="1961"/>
      <c r="J20" s="1962"/>
      <c r="K20" s="279" t="s">
        <v>3630</v>
      </c>
      <c r="L20" s="1958"/>
      <c r="M20" s="1958"/>
      <c r="N20" s="1958"/>
      <c r="O20" s="1958"/>
      <c r="P20" s="1958"/>
    </row>
    <row r="21" spans="1:16">
      <c r="A21" s="1953" t="s">
        <v>1390</v>
      </c>
      <c r="B21" s="122" t="s">
        <v>1395</v>
      </c>
      <c r="C21" s="1954" t="str">
        <f>REPLACE("00,00*",1,5,(ROUND(2.4*$G$5,2))*Belarus)</f>
        <v>204*</v>
      </c>
      <c r="D21" s="1955"/>
      <c r="E21" s="1956"/>
      <c r="F21" s="236" t="str">
        <f>REPLACE("00,00*",1,5,(ROUND(2.5*$G$5,2))*Belarus)</f>
        <v>212,5*</v>
      </c>
      <c r="G21" s="236" t="str">
        <f>REPLACE("00,00*",1,5,(ROUND(2.4*$G$5,2))*Belarus)</f>
        <v>204*</v>
      </c>
      <c r="I21" s="1963"/>
      <c r="J21" s="1964"/>
      <c r="K21" s="279" t="s">
        <v>3631</v>
      </c>
      <c r="L21" s="1958"/>
      <c r="M21" s="1958"/>
      <c r="N21" s="1958"/>
      <c r="O21" s="1958"/>
      <c r="P21" s="1958"/>
    </row>
    <row r="22" spans="1:16">
      <c r="A22" s="1953"/>
      <c r="B22" s="122" t="s">
        <v>568</v>
      </c>
      <c r="C22" s="1954" t="str">
        <f>REPLACE("00,00*",1,5,(ROUND(2.4*$G$5,2))*Belarus)</f>
        <v>204*</v>
      </c>
      <c r="D22" s="1955"/>
      <c r="E22" s="1956"/>
      <c r="F22" s="236" t="str">
        <f>REPLACE("00,00*",1,5,(ROUND(2.5*$G$5,2))*Belarus)</f>
        <v>212,5*</v>
      </c>
      <c r="G22" s="236" t="str">
        <f>REPLACE("00,00*",1,5,(ROUND(2.4*$G$5,2))*Belarus)</f>
        <v>204*</v>
      </c>
      <c r="I22" s="1" t="s">
        <v>3632</v>
      </c>
      <c r="K22" s="307"/>
      <c r="L22" s="307"/>
      <c r="M22" s="307"/>
      <c r="N22" s="307"/>
      <c r="O22" s="307"/>
      <c r="P22" s="307"/>
    </row>
    <row r="23" spans="1:16">
      <c r="A23" s="1953" t="s">
        <v>1391</v>
      </c>
      <c r="B23" s="122" t="s">
        <v>1395</v>
      </c>
      <c r="C23" s="1954" t="str">
        <f>REPLACE("00,00*",1,5,(ROUND(2.23*$G$5,2))*Belarus)</f>
        <v>189,55*</v>
      </c>
      <c r="D23" s="1955"/>
      <c r="E23" s="1956"/>
      <c r="F23" s="236" t="str">
        <f>REPLACE("00,00*",1,5,(ROUND(2.33*$G$5,2))*Belarus)</f>
        <v>198,05*</v>
      </c>
      <c r="G23" s="236" t="str">
        <f>REPLACE("00,00*",1,5,(ROUND(2.23*$G$5,2))*Belarus)</f>
        <v>189,55*</v>
      </c>
    </row>
    <row r="24" spans="1:16">
      <c r="A24" s="1953"/>
      <c r="B24" s="122" t="s">
        <v>1398</v>
      </c>
      <c r="C24" s="1954" t="str">
        <f>REPLACE("00,00*",1,5,(ROUND(2.23*$G$5,2))*Belarus)</f>
        <v>189,55*</v>
      </c>
      <c r="D24" s="1955"/>
      <c r="E24" s="1956"/>
      <c r="F24" s="236" t="str">
        <f>REPLACE("00,00*",1,5,(ROUND(2.33*$G$5,2))*Belarus)</f>
        <v>198,05*</v>
      </c>
      <c r="G24" s="236" t="str">
        <f>REPLACE("00,00*",1,5,(ROUND(2.23*$G$5,2))*Belarus)</f>
        <v>189,55*</v>
      </c>
    </row>
    <row r="25" spans="1:16" ht="12.75" customHeight="1">
      <c r="A25" s="1953"/>
      <c r="B25" s="122" t="s">
        <v>1399</v>
      </c>
      <c r="C25" s="1954" t="str">
        <f>REPLACE("00,00*",1,5,(ROUND(2.23*$G$5,2))*Belarus)</f>
        <v>189,55*</v>
      </c>
      <c r="D25" s="1955"/>
      <c r="E25" s="1956"/>
      <c r="F25" s="236" t="str">
        <f>REPLACE("00,00*",1,5,(ROUND(2.33*$G$5,2))*Belarus)</f>
        <v>198,05*</v>
      </c>
      <c r="G25" s="236" t="str">
        <f>REPLACE("00,00*",1,5,(ROUND(2.23*$G$5,2))*Belarus)</f>
        <v>189,55*</v>
      </c>
      <c r="I25" s="1794" t="s">
        <v>575</v>
      </c>
      <c r="J25" s="1794"/>
      <c r="K25" s="1794"/>
      <c r="L25" s="1491" t="s">
        <v>3633</v>
      </c>
      <c r="M25" s="1491"/>
      <c r="N25" s="1491"/>
      <c r="O25" s="1491"/>
      <c r="P25" s="1491"/>
    </row>
    <row r="26" spans="1:16">
      <c r="A26" s="1953" t="s">
        <v>1392</v>
      </c>
      <c r="B26" s="122" t="s">
        <v>1400</v>
      </c>
      <c r="C26" s="1954" t="str">
        <f>REPLACE("00,00*",1,5,(ROUND(1.86*$G$5,2))*Belarus)</f>
        <v>158,1*</v>
      </c>
      <c r="D26" s="1955"/>
      <c r="E26" s="1956"/>
      <c r="F26" s="236" t="str">
        <f>REPLACE("00,00*",1,5,(ROUND(1.96*$G$5,2))*Belarus)</f>
        <v>166,6*</v>
      </c>
      <c r="G26" s="236" t="str">
        <f>REPLACE("00,00*",1,5,(ROUND(1.86*$G$5,2))*Belarus)</f>
        <v>158,1*</v>
      </c>
      <c r="I26" s="1351" t="s">
        <v>1448</v>
      </c>
      <c r="J26" s="1351"/>
      <c r="K26" s="1351"/>
      <c r="L26" s="1285">
        <f>2900*Belarus</f>
        <v>2900</v>
      </c>
      <c r="M26" s="1285"/>
      <c r="N26" s="1285"/>
      <c r="O26" s="1285"/>
      <c r="P26" s="1285"/>
    </row>
    <row r="27" spans="1:16">
      <c r="A27" s="1953"/>
      <c r="B27" s="122" t="s">
        <v>833</v>
      </c>
      <c r="C27" s="1954" t="str">
        <f>REPLACE("00,00*",1,5,(ROUND(1.86*$G$5,2))*Belarus)</f>
        <v>158,1*</v>
      </c>
      <c r="D27" s="1955"/>
      <c r="E27" s="1956"/>
      <c r="F27" s="236" t="str">
        <f>REPLACE("00,00*",1,5,(ROUND(1.96*$G$5,2))*Belarus)</f>
        <v>166,6*</v>
      </c>
      <c r="G27" s="236" t="str">
        <f>REPLACE("00,00*",1,5,(ROUND(1.86*$G$5,2))*Belarus)</f>
        <v>158,1*</v>
      </c>
      <c r="I27" s="1409" t="s">
        <v>1449</v>
      </c>
      <c r="J27" s="1410"/>
      <c r="K27" s="1411"/>
      <c r="L27" s="1540">
        <f>4900*Belarus</f>
        <v>4900</v>
      </c>
      <c r="M27" s="1957"/>
      <c r="N27" s="1957"/>
      <c r="O27" s="1957"/>
      <c r="P27" s="1541"/>
    </row>
    <row r="28" spans="1:16">
      <c r="A28" s="1947" t="str">
        <f>REPLACE("* цены рассчитаны пересчетом из евро по курсу 00,00 руб. за 1 евро",47,5,G5)</f>
        <v>* цены рассчитаны пересчетом из евро по курсу 85 руб. за 1 евро</v>
      </c>
      <c r="B28" s="1947"/>
      <c r="C28" s="1947"/>
      <c r="D28" s="1947"/>
      <c r="E28" s="1947"/>
      <c r="F28" s="1947"/>
      <c r="G28" s="1947"/>
      <c r="H28" s="1947"/>
      <c r="I28" s="1947"/>
      <c r="J28" s="1947"/>
      <c r="K28" s="1947"/>
      <c r="L28" s="1947"/>
      <c r="M28" s="1947"/>
      <c r="N28" s="1947"/>
      <c r="O28" s="1947"/>
      <c r="P28" s="1947"/>
    </row>
    <row r="29" spans="1:16">
      <c r="A29" s="1244" t="s">
        <v>1401</v>
      </c>
      <c r="B29" s="1244"/>
      <c r="C29" s="1244"/>
      <c r="D29" s="1244"/>
      <c r="E29" s="1244"/>
      <c r="F29" s="1244"/>
      <c r="G29" s="1244"/>
      <c r="H29" s="1244"/>
      <c r="I29" s="1244"/>
      <c r="J29" s="1244"/>
      <c r="K29" s="1244"/>
      <c r="L29" s="1244"/>
      <c r="M29" s="1244"/>
      <c r="N29" s="1244"/>
      <c r="O29" s="1244"/>
      <c r="P29" s="1244"/>
    </row>
    <row r="30" spans="1:16">
      <c r="A30" s="1948" t="s">
        <v>1402</v>
      </c>
      <c r="B30" s="1948"/>
      <c r="C30" s="1948"/>
      <c r="D30" s="1948"/>
      <c r="E30" s="1948"/>
      <c r="F30" s="1948"/>
      <c r="G30" s="1948"/>
      <c r="H30" s="1948"/>
      <c r="I30" s="1948"/>
      <c r="J30" s="1948"/>
      <c r="K30" s="1948"/>
      <c r="L30" s="1948"/>
      <c r="M30" s="1948"/>
      <c r="N30" s="1948"/>
      <c r="O30" s="1948"/>
      <c r="P30" s="1948"/>
    </row>
    <row r="31" spans="1:16">
      <c r="A31" s="1941" t="s">
        <v>6538</v>
      </c>
      <c r="B31" s="1941"/>
      <c r="C31" s="1941"/>
      <c r="D31" s="1941"/>
      <c r="E31" s="1941"/>
      <c r="F31" s="1941"/>
      <c r="G31" s="1941"/>
      <c r="H31" s="1941"/>
      <c r="I31" s="1941"/>
      <c r="J31" s="1941"/>
      <c r="K31" s="1941"/>
      <c r="L31" s="1941"/>
      <c r="M31" s="1941"/>
      <c r="N31" s="1941"/>
      <c r="O31" s="1941"/>
      <c r="P31" s="1941"/>
    </row>
    <row r="32" spans="1:16">
      <c r="A32" s="305"/>
      <c r="B32" s="306"/>
      <c r="C32" s="306"/>
      <c r="D32" s="307"/>
      <c r="E32" s="307"/>
      <c r="F32" s="307"/>
      <c r="G32" s="307"/>
      <c r="H32" s="312"/>
      <c r="I32" s="312"/>
      <c r="J32" s="312"/>
      <c r="K32" s="312"/>
      <c r="L32" s="312"/>
      <c r="M32" s="312"/>
      <c r="N32" s="312"/>
      <c r="O32" s="312"/>
      <c r="P32" s="307"/>
    </row>
    <row r="33" spans="1:16" ht="15">
      <c r="A33" s="302" t="s">
        <v>1403</v>
      </c>
      <c r="B33" s="313"/>
      <c r="C33" s="313"/>
      <c r="D33" s="313"/>
      <c r="E33" s="313"/>
      <c r="F33" s="313"/>
      <c r="G33" s="313"/>
      <c r="I33" s="303"/>
      <c r="J33" s="303"/>
      <c r="K33" s="303"/>
      <c r="L33" s="303"/>
      <c r="M33" s="303"/>
      <c r="N33" s="303"/>
      <c r="O33" s="303" t="s">
        <v>1385</v>
      </c>
      <c r="P33" s="304">
        <v>43202</v>
      </c>
    </row>
    <row r="34" spans="1:16">
      <c r="A34" s="313"/>
      <c r="B34" s="313"/>
      <c r="C34" s="313"/>
      <c r="D34" s="313"/>
      <c r="E34" s="313"/>
      <c r="F34" s="313"/>
      <c r="G34" s="313"/>
      <c r="I34" s="308"/>
      <c r="J34" s="308"/>
      <c r="K34" s="308"/>
      <c r="L34" s="308"/>
      <c r="M34" s="308"/>
      <c r="N34" s="308"/>
      <c r="O34" s="308" t="s">
        <v>1404</v>
      </c>
      <c r="P34" s="309">
        <v>85</v>
      </c>
    </row>
    <row r="35" spans="1:16" ht="12.75" customHeight="1">
      <c r="A35" s="1495" t="s">
        <v>1405</v>
      </c>
      <c r="B35" s="1495" t="s">
        <v>307</v>
      </c>
      <c r="C35" s="1495" t="s">
        <v>1406</v>
      </c>
      <c r="D35" s="1452" t="s">
        <v>3604</v>
      </c>
      <c r="E35" s="1477"/>
      <c r="F35" s="1477"/>
      <c r="G35" s="1477"/>
      <c r="H35" s="1477"/>
      <c r="I35" s="1477"/>
      <c r="J35" s="1477"/>
      <c r="K35" s="1477"/>
      <c r="L35" s="1477"/>
      <c r="M35" s="1477"/>
      <c r="N35" s="1477"/>
      <c r="O35" s="1477"/>
      <c r="P35" s="1478"/>
    </row>
    <row r="36" spans="1:16" ht="15.75" customHeight="1">
      <c r="A36" s="1470"/>
      <c r="B36" s="1470"/>
      <c r="C36" s="1470"/>
      <c r="D36" s="1949" t="s">
        <v>3634</v>
      </c>
      <c r="E36" s="1949"/>
      <c r="F36" s="1949"/>
      <c r="G36" s="1950"/>
      <c r="H36" s="1951" t="s">
        <v>3607</v>
      </c>
      <c r="I36" s="1388"/>
      <c r="J36" s="1388"/>
      <c r="K36" s="1388"/>
      <c r="L36" s="1952"/>
      <c r="M36" s="1517" t="s">
        <v>3608</v>
      </c>
      <c r="N36" s="1517"/>
      <c r="O36" s="1517"/>
      <c r="P36" s="1480"/>
    </row>
    <row r="37" spans="1:16">
      <c r="A37" s="1496"/>
      <c r="B37" s="1496"/>
      <c r="C37" s="1496"/>
      <c r="D37" s="107" t="s">
        <v>1407</v>
      </c>
      <c r="E37" s="107" t="s">
        <v>1408</v>
      </c>
      <c r="F37" s="107" t="s">
        <v>1409</v>
      </c>
      <c r="G37" s="60" t="s">
        <v>1410</v>
      </c>
      <c r="H37" s="1946" t="s">
        <v>1407</v>
      </c>
      <c r="I37" s="1502"/>
      <c r="J37" s="62" t="s">
        <v>1408</v>
      </c>
      <c r="K37" s="62" t="s">
        <v>1409</v>
      </c>
      <c r="L37" s="695" t="s">
        <v>1410</v>
      </c>
      <c r="M37" s="61" t="s">
        <v>1407</v>
      </c>
      <c r="N37" s="107" t="s">
        <v>1408</v>
      </c>
      <c r="O37" s="107" t="s">
        <v>1409</v>
      </c>
      <c r="P37" s="107" t="s">
        <v>1410</v>
      </c>
    </row>
    <row r="38" spans="1:16" ht="25.5">
      <c r="A38" s="310" t="s">
        <v>1411</v>
      </c>
      <c r="B38" s="310" t="s">
        <v>1412</v>
      </c>
      <c r="C38" s="311" t="s">
        <v>1413</v>
      </c>
      <c r="D38" s="236" t="str">
        <f>REPLACE("00,00*",1,5,(ROUND(1.57*$P$34,2))*Belarus)</f>
        <v>133,45*</v>
      </c>
      <c r="E38" s="236" t="str">
        <f>REPLACE("00,00*",1,5,(ROUND(1.73*$P$34,2))*Belarus)</f>
        <v>147,05*</v>
      </c>
      <c r="F38" s="236" t="str">
        <f>REPLACE("00,00*",1,5,(ROUND(2.09*$P$34,2))*Belarus)</f>
        <v>177,65*</v>
      </c>
      <c r="G38" s="694" t="s">
        <v>369</v>
      </c>
      <c r="H38" s="1944" t="str">
        <f>REPLACE("00,00*",1,5,(ROUND(1.69*$P$34,2))*Belarus)</f>
        <v>143,65*</v>
      </c>
      <c r="I38" s="1761"/>
      <c r="J38" s="236" t="str">
        <f>REPLACE("00,00*",1,5,(ROUND(1.85*$P$34,2))*Belarus)</f>
        <v>157,25*</v>
      </c>
      <c r="K38" s="236" t="str">
        <f>REPLACE("00,00*",1,5,(ROUND(2.19*$P$34,2))*Belarus)</f>
        <v>186,15*</v>
      </c>
      <c r="L38" s="696" t="s">
        <v>369</v>
      </c>
      <c r="M38" s="865" t="str">
        <f>REPLACE("00,00*",1,5,(ROUND(1.73*$P$34,2))*Belarus)</f>
        <v>147,05*</v>
      </c>
      <c r="N38" s="236" t="str">
        <f>REPLACE("00,00*",1,5,(ROUND(1.89*$P$34,2))*Belarus)</f>
        <v>160,65*</v>
      </c>
      <c r="O38" s="236" t="str">
        <f>REPLACE("00,00*",1,5,(ROUND(2.34*$P$34,2))*Belarus)</f>
        <v>198,9*</v>
      </c>
      <c r="P38" s="236" t="s">
        <v>369</v>
      </c>
    </row>
    <row r="39" spans="1:16" ht="25.5">
      <c r="A39" s="314" t="s">
        <v>1414</v>
      </c>
      <c r="B39" s="310" t="s">
        <v>1415</v>
      </c>
      <c r="C39" s="311" t="s">
        <v>1416</v>
      </c>
      <c r="D39" s="103" t="str">
        <f>REPLACE("00,00*",1,5,(ROUND(1.43*$P$34,2))*Belarus)</f>
        <v>121,55*</v>
      </c>
      <c r="E39" s="103" t="str">
        <f>REPLACE("от 00,00*",4,5,(ROUND(1.55*$P$34,2))*Belarus)</f>
        <v>от 131,75*</v>
      </c>
      <c r="F39" s="103" t="s">
        <v>369</v>
      </c>
      <c r="G39" s="687" t="s">
        <v>369</v>
      </c>
      <c r="H39" s="1944" t="str">
        <f>REPLACE("00,00*",1,5,(ROUND(1.56*$P$34,2))*Belarus)</f>
        <v>132,6*</v>
      </c>
      <c r="I39" s="1761"/>
      <c r="J39" s="103" t="str">
        <f>REPLACE("от 00,00*",4,5,(ROUND(1.67*$P$34,2))*Belarus)</f>
        <v>от 141,95*</v>
      </c>
      <c r="K39" s="103" t="s">
        <v>369</v>
      </c>
      <c r="L39" s="697" t="s">
        <v>369</v>
      </c>
      <c r="M39" s="242" t="str">
        <f>REPLACE("00,00*",1,5,(ROUND(1.67*$P$34,2))*Belarus)</f>
        <v>141,95*</v>
      </c>
      <c r="N39" s="103" t="str">
        <f>REPLACE("от 00,00*",4,5,(ROUND(1.78*$P$34,2))*Belarus)</f>
        <v>от 151,3*</v>
      </c>
      <c r="O39" s="103" t="s">
        <v>369</v>
      </c>
      <c r="P39" s="103" t="s">
        <v>369</v>
      </c>
    </row>
    <row r="40" spans="1:16" ht="25.5">
      <c r="A40" s="314" t="s">
        <v>1417</v>
      </c>
      <c r="B40" s="310" t="s">
        <v>1418</v>
      </c>
      <c r="C40" s="311" t="s">
        <v>1419</v>
      </c>
      <c r="D40" s="103" t="str">
        <f>REPLACE("00,00*",1,5,(ROUND(1.75*$P$34,2))*Belarus)</f>
        <v>148,75*</v>
      </c>
      <c r="E40" s="103" t="str">
        <f>REPLACE("00,00*",1,5,(ROUND(1.84*$P$34,2))*Belarus)</f>
        <v>156,4*</v>
      </c>
      <c r="F40" s="103" t="str">
        <f>REPLACE("от 00,00*",4,5,(ROUND(1.89*$P$34,2))*Belarus)</f>
        <v>от 160,65*</v>
      </c>
      <c r="G40" s="687" t="str">
        <f>REPLACE("от 00,00*",4,5,(ROUND(2.07*$P$34,2))*Belarus)</f>
        <v>от 175,95*</v>
      </c>
      <c r="H40" s="1944" t="str">
        <f>REPLACE("00,00*",1,5,(ROUND(1.84*$P$34,2))*Belarus)</f>
        <v>156,4*</v>
      </c>
      <c r="I40" s="1761"/>
      <c r="J40" s="103" t="str">
        <f>REPLACE("00,00*",1,5,(ROUND(1.93*$P$34,2))*Belarus)</f>
        <v>164,05*</v>
      </c>
      <c r="K40" s="103" t="str">
        <f>REPLACE("от 00,00*",4,5,(ROUND(1.98*$P$34,2))*Belarus)</f>
        <v>от 168,3*</v>
      </c>
      <c r="L40" s="697" t="str">
        <f>REPLACE("от 00,00*",4,5,(ROUND(2.23*$P$34,2))*Belarus)</f>
        <v>от 189,55*</v>
      </c>
      <c r="M40" s="242" t="str">
        <f>REPLACE("00,00*",1,5,(ROUND(1.93*$P$34,2))*Belarus)</f>
        <v>164,05*</v>
      </c>
      <c r="N40" s="103" t="str">
        <f>REPLACE("00,00*",1,5,(ROUND(2.02*$P$34,2))*Belarus)</f>
        <v>171,7*</v>
      </c>
      <c r="O40" s="103" t="str">
        <f>REPLACE("от 00,00*",4,5,(ROUND(2.08*$P$34,2))*Belarus)</f>
        <v>от 176,8*</v>
      </c>
      <c r="P40" s="103" t="str">
        <f>REPLACE("от 00,00*",4,5,(ROUND(2.33*$P$34,2))*Belarus)</f>
        <v>от 198,05*</v>
      </c>
    </row>
    <row r="41" spans="1:16" ht="25.5">
      <c r="A41" s="314" t="s">
        <v>1420</v>
      </c>
      <c r="B41" s="310" t="s">
        <v>1421</v>
      </c>
      <c r="C41" s="311" t="s">
        <v>1422</v>
      </c>
      <c r="D41" s="103" t="str">
        <f>REPLACE("00,00*",1,5,(ROUND(1.86*$P$34,2))*Belarus)</f>
        <v>158,1*</v>
      </c>
      <c r="E41" s="103" t="str">
        <f>REPLACE("00,00*",1,5,(ROUND(1.95*$P$34,2))*Belarus)</f>
        <v>165,75*</v>
      </c>
      <c r="F41" s="103" t="str">
        <f>REPLACE("00,00*",1,5,(ROUND(2.26*$P$34,2))*Belarus)</f>
        <v>192,1*</v>
      </c>
      <c r="G41" s="687" t="s">
        <v>369</v>
      </c>
      <c r="H41" s="1944" t="str">
        <f>REPLACE("00,00*",1,5,(ROUND(1.95*$P$34,2))*Belarus)</f>
        <v>165,75*</v>
      </c>
      <c r="I41" s="1761"/>
      <c r="J41" s="103" t="str">
        <f>REPLACE("00,00*",1,5,(ROUND(2.03*$P$34,2))*Belarus)</f>
        <v>172,55*</v>
      </c>
      <c r="K41" s="103" t="str">
        <f>REPLACE("00,00*",1,5,(ROUND(2.34*$P$34,2))*Belarus)</f>
        <v>198,9*</v>
      </c>
      <c r="L41" s="697" t="s">
        <v>369</v>
      </c>
      <c r="M41" s="242" t="str">
        <f>REPLACE("00,00*",1,5,(ROUND(2.06*$P$34,2))*Belarus)</f>
        <v>175,1*</v>
      </c>
      <c r="N41" s="103" t="str">
        <f>REPLACE("00,00*",1,5,(ROUND(2.14*$P$34,2))*Belarus)</f>
        <v>181,9*</v>
      </c>
      <c r="O41" s="103" t="str">
        <f>REPLACE("00,00*",1,5,(ROUND(2.46*$P$34,2))*Belarus)</f>
        <v>209,1*</v>
      </c>
      <c r="P41" s="103" t="s">
        <v>369</v>
      </c>
    </row>
    <row r="42" spans="1:16" ht="25.5">
      <c r="A42" s="314" t="s">
        <v>1423</v>
      </c>
      <c r="B42" s="310" t="s">
        <v>1424</v>
      </c>
      <c r="C42" s="311" t="s">
        <v>1425</v>
      </c>
      <c r="D42" s="103" t="str">
        <f>REPLACE("00,00*",1,5,(ROUND(2.4*$P$34,2))*Belarus)</f>
        <v>204*</v>
      </c>
      <c r="E42" s="103" t="str">
        <f>REPLACE("00,00*",1,5,(ROUND(2.41*$P$34,2))*Belarus)</f>
        <v>204,85*</v>
      </c>
      <c r="F42" s="103" t="str">
        <f>REPLACE("00,00*",1,5,(ROUND(2.49*$P$34,2))*Belarus)</f>
        <v>211,65*</v>
      </c>
      <c r="G42" s="687" t="s">
        <v>369</v>
      </c>
      <c r="H42" s="1944" t="str">
        <f>REPLACE("00,00*",1,5,(ROUND(2.47*$P$34,2))*Belarus)</f>
        <v>209,95*</v>
      </c>
      <c r="I42" s="1761"/>
      <c r="J42" s="103" t="str">
        <f>REPLACE("00,00*",1,5,(ROUND(2.48*$P$34,2))*Belarus)</f>
        <v>210,8*</v>
      </c>
      <c r="K42" s="103" t="str">
        <f>REPLACE("00,00*",1,5,(ROUND(2.58*$P$34,2))*Belarus)</f>
        <v>219,3*</v>
      </c>
      <c r="L42" s="697" t="s">
        <v>369</v>
      </c>
      <c r="M42" s="242" t="str">
        <f>REPLACE("00,00*",1,5,(ROUND(2.6*$P$34,2))*Belarus)</f>
        <v>221*</v>
      </c>
      <c r="N42" s="103" t="str">
        <f>REPLACE("00,00*",1,5,(ROUND(2.61*$P$34,2))*Belarus)</f>
        <v>221,85*</v>
      </c>
      <c r="O42" s="103" t="str">
        <f>REPLACE("00,00*",1,5,(ROUND(2.69*$P$34,2))*Belarus)</f>
        <v>228,65*</v>
      </c>
      <c r="P42" s="103" t="s">
        <v>369</v>
      </c>
    </row>
    <row r="43" spans="1:16" ht="25.5">
      <c r="A43" s="314" t="s">
        <v>1426</v>
      </c>
      <c r="B43" s="310" t="s">
        <v>1427</v>
      </c>
      <c r="C43" s="311" t="s">
        <v>1428</v>
      </c>
      <c r="D43" s="103" t="str">
        <f>REPLACE("00,00*",1,5,(ROUND(2.97*$P$34,2))*Belarus)</f>
        <v>252,45*</v>
      </c>
      <c r="E43" s="103" t="str">
        <f>REPLACE("00,00*",1,5,(ROUND(3.12*$P$34,2))*Belarus)</f>
        <v>265,2*</v>
      </c>
      <c r="F43" s="103" t="str">
        <f>REPLACE("00,00*",1,5,(ROUND(3.35*$P$34,2))*Belarus)</f>
        <v>284,75*</v>
      </c>
      <c r="G43" s="687" t="s">
        <v>369</v>
      </c>
      <c r="H43" s="1944" t="str">
        <f>REPLACE("00,00*",1,5,(ROUND(3.05*$P$34,2))*Belarus)</f>
        <v>259,25*</v>
      </c>
      <c r="I43" s="1761"/>
      <c r="J43" s="103" t="str">
        <f>REPLACE("00,00*",1,5,(ROUND(3.19*$P$34,2))*Belarus)</f>
        <v>271,15*</v>
      </c>
      <c r="K43" s="103" t="str">
        <f>REPLACE("00,00*",1,5,(ROUND(3.43*$P$34,2))*Belarus)</f>
        <v>291,55*</v>
      </c>
      <c r="L43" s="697" t="s">
        <v>369</v>
      </c>
      <c r="M43" s="242" t="str">
        <f>REPLACE("00,00*",1,5,(ROUND(3.16*$P$34,2))*Belarus)</f>
        <v>268,6*</v>
      </c>
      <c r="N43" s="103" t="str">
        <f>REPLACE("00,00*",1,5,(ROUND(3.32*$P$34,2))*Belarus)</f>
        <v>282,2*</v>
      </c>
      <c r="O43" s="103" t="str">
        <f>REPLACE("00,00*",1,5,(ROUND(3.55*$P$34,2))*Belarus)</f>
        <v>301,75*</v>
      </c>
      <c r="P43" s="103" t="s">
        <v>369</v>
      </c>
    </row>
    <row r="44" spans="1:16" ht="25.5">
      <c r="A44" s="314" t="s">
        <v>1429</v>
      </c>
      <c r="B44" s="310" t="s">
        <v>1430</v>
      </c>
      <c r="C44" s="311" t="s">
        <v>1431</v>
      </c>
      <c r="D44" s="103" t="s">
        <v>369</v>
      </c>
      <c r="E44" s="103" t="str">
        <f>REPLACE("00,00*",1,5,(ROUND(2.74*$P$34,2))*Belarus)</f>
        <v>232,9*</v>
      </c>
      <c r="F44" s="103" t="str">
        <f>REPLACE("00,00*",1,5,(ROUND(2.77*$P$34,2))*Belarus)</f>
        <v>235,45*</v>
      </c>
      <c r="G44" s="687" t="str">
        <f>REPLACE("00,00*",1,5,(ROUND(3.76*$P$34,2))*Belarus)</f>
        <v>319,6*</v>
      </c>
      <c r="H44" s="1944" t="s">
        <v>369</v>
      </c>
      <c r="I44" s="1761"/>
      <c r="J44" s="103" t="str">
        <f>REPLACE("00,00*",1,5,(ROUND(2.82*$P$34,2))*Belarus)</f>
        <v>239,7*</v>
      </c>
      <c r="K44" s="103" t="str">
        <f>REPLACE("00,00*",1,5,(ROUND(2.85*$P$34,2))*Belarus)</f>
        <v>242,25*</v>
      </c>
      <c r="L44" s="697" t="str">
        <f>REPLACE("00,00*",1,5,(ROUND(3.84*$P$34,2))*Belarus)</f>
        <v>326,4*</v>
      </c>
      <c r="M44" s="242" t="s">
        <v>369</v>
      </c>
      <c r="N44" s="103" t="str">
        <f>REPLACE("00,00*",1,5,(ROUND(2.94*$P$34,2))*Belarus)</f>
        <v>249,9*</v>
      </c>
      <c r="O44" s="103" t="str">
        <f>REPLACE("00,00*",1,5,(ROUND(2.97*$P$34,2))*Belarus)</f>
        <v>252,45*</v>
      </c>
      <c r="P44" s="103" t="str">
        <f>REPLACE("00,00*",1,5,(ROUND(3.96*$P$34,2))*Belarus)</f>
        <v>336,6*</v>
      </c>
    </row>
    <row r="45" spans="1:16" ht="25.5">
      <c r="A45" s="314" t="s">
        <v>1432</v>
      </c>
      <c r="B45" s="310" t="s">
        <v>1433</v>
      </c>
      <c r="C45" s="183" t="s">
        <v>1434</v>
      </c>
      <c r="D45" s="103" t="str">
        <f>REPLACE("00,00*",1,5,(ROUND(1.09*$P$34,2))*Belarus)</f>
        <v>92,65*</v>
      </c>
      <c r="E45" s="103" t="str">
        <f>REPLACE("00,00*",1,5,(ROUND(1.09*$P$34,2))*Belarus)</f>
        <v>92,65*</v>
      </c>
      <c r="F45" s="103" t="str">
        <f>REPLACE("00,00*",1,5,(ROUND(1.17*$P$34,2))*Belarus)</f>
        <v>99,45*</v>
      </c>
      <c r="G45" s="687" t="str">
        <f>REPLACE("от 00,00*",4,5,(ROUND(1.29*$P$34,2))*Belarus)</f>
        <v>от 109,65*</v>
      </c>
      <c r="H45" s="1944" t="str">
        <f>REPLACE("00,00*",1,5,(ROUND(1.17*$P$34,2))*Belarus)</f>
        <v>99,45*</v>
      </c>
      <c r="I45" s="1761"/>
      <c r="J45" s="103" t="str">
        <f>REPLACE("00,00*",1,5,(ROUND(1.17*$P$34,2))*Belarus)</f>
        <v>99,45*</v>
      </c>
      <c r="K45" s="103" t="str">
        <f>REPLACE("00,00*",1,5,(ROUND(1.25*$P$34,2))*Belarus)</f>
        <v>106,25*</v>
      </c>
      <c r="L45" s="697" t="str">
        <f>REPLACE("от 00,00*",4,5,(ROUND(1.37*$P$34,2))*Belarus)</f>
        <v>от 116,45*</v>
      </c>
      <c r="M45" s="242" t="str">
        <f>REPLACE("00,00*",1,5,(ROUND(1.29*$P$34,2))*Belarus)</f>
        <v>109,65*</v>
      </c>
      <c r="N45" s="103" t="str">
        <f>REPLACE("00,00*",1,5,(ROUND(1.29*$P$34,2))*Belarus)</f>
        <v>109,65*</v>
      </c>
      <c r="O45" s="103" t="str">
        <f>REPLACE("00,00*",1,5,(ROUND(1.37*$P$34,2))*Belarus)</f>
        <v>116,45*</v>
      </c>
      <c r="P45" s="103" t="str">
        <f>REPLACE("от 00,00*",4,5,(ROUND(1.49*$P$34,2))*Belarus)</f>
        <v>от 126,65*</v>
      </c>
    </row>
    <row r="46" spans="1:16" ht="25.5">
      <c r="A46" s="314" t="s">
        <v>1435</v>
      </c>
      <c r="B46" s="310" t="s">
        <v>1436</v>
      </c>
      <c r="C46" s="311" t="s">
        <v>1437</v>
      </c>
      <c r="D46" s="103" t="str">
        <f>REPLACE("00,00*",1,5,(ROUND(3*$P$34,2))*Belarus)</f>
        <v>255*</v>
      </c>
      <c r="E46" s="103" t="str">
        <f>REPLACE("00,00*",1,5,(ROUND(3.05*$P$34,2))*Belarus)</f>
        <v>259,25*</v>
      </c>
      <c r="F46" s="103" t="s">
        <v>369</v>
      </c>
      <c r="G46" s="687" t="s">
        <v>369</v>
      </c>
      <c r="H46" s="1944" t="str">
        <f>REPLACE("00,00*",1,5,(ROUND(3.08*$P$34,2))*Belarus)</f>
        <v>261,8*</v>
      </c>
      <c r="I46" s="1761"/>
      <c r="J46" s="103" t="str">
        <f>REPLACE("00,00*",1,5,(ROUND(3.12*$P$34,2))*Belarus)</f>
        <v>265,2*</v>
      </c>
      <c r="K46" s="103" t="s">
        <v>369</v>
      </c>
      <c r="L46" s="697" t="s">
        <v>369</v>
      </c>
      <c r="M46" s="242" t="str">
        <f>REPLACE("00,00*",1,5,(ROUND(3.2*$P$34,2))*Belarus)</f>
        <v>272*</v>
      </c>
      <c r="N46" s="103" t="str">
        <f>REPLACE("00,00*",1,5,(ROUND(3.24*$P$34,2))*Belarus)</f>
        <v>275,4*</v>
      </c>
      <c r="O46" s="103" t="s">
        <v>369</v>
      </c>
      <c r="P46" s="103" t="s">
        <v>369</v>
      </c>
    </row>
    <row r="47" spans="1:16" ht="25.5">
      <c r="A47" s="314" t="s">
        <v>1438</v>
      </c>
      <c r="B47" s="310" t="s">
        <v>1439</v>
      </c>
      <c r="C47" s="311" t="s">
        <v>1440</v>
      </c>
      <c r="D47" s="103" t="s">
        <v>369</v>
      </c>
      <c r="E47" s="103" t="str">
        <f>REPLACE("00,00*",1,5,(ROUND(4.41*$P$34,2))*Belarus)</f>
        <v>374,85*</v>
      </c>
      <c r="F47" s="103" t="s">
        <v>369</v>
      </c>
      <c r="G47" s="687" t="s">
        <v>369</v>
      </c>
      <c r="H47" s="1944" t="s">
        <v>369</v>
      </c>
      <c r="I47" s="1761"/>
      <c r="J47" s="103" t="str">
        <f>REPLACE("00,00*",1,5,(ROUND(4.49*$P$34,2))*Belarus)</f>
        <v>381,65*</v>
      </c>
      <c r="K47" s="103" t="s">
        <v>369</v>
      </c>
      <c r="L47" s="697" t="s">
        <v>369</v>
      </c>
      <c r="M47" s="242" t="s">
        <v>369</v>
      </c>
      <c r="N47" s="103" t="str">
        <f>REPLACE("00,00*",1,5,(ROUND(4.6*$P$34,2))*Belarus)</f>
        <v>391*</v>
      </c>
      <c r="O47" s="103" t="s">
        <v>369</v>
      </c>
      <c r="P47" s="103" t="s">
        <v>369</v>
      </c>
    </row>
    <row r="48" spans="1:16" ht="25.5">
      <c r="A48" s="314" t="s">
        <v>1441</v>
      </c>
      <c r="B48" s="310" t="s">
        <v>1442</v>
      </c>
      <c r="C48" s="311" t="s">
        <v>1443</v>
      </c>
      <c r="D48" s="103" t="s">
        <v>369</v>
      </c>
      <c r="E48" s="103" t="str">
        <f>REPLACE("00,00*",1,5,(ROUND(4.08*$P$34,2))*Belarus)</f>
        <v>346,8*</v>
      </c>
      <c r="F48" s="103" t="s">
        <v>369</v>
      </c>
      <c r="G48" s="687" t="s">
        <v>369</v>
      </c>
      <c r="H48" s="1945" t="s">
        <v>369</v>
      </c>
      <c r="I48" s="1530"/>
      <c r="J48" s="103" t="str">
        <f>REPLACE("00,00*",1,5,(ROUND(4.16*$P$34,2))*Belarus)</f>
        <v>353,6*</v>
      </c>
      <c r="K48" s="103" t="s">
        <v>369</v>
      </c>
      <c r="L48" s="697" t="s">
        <v>369</v>
      </c>
      <c r="M48" s="242" t="s">
        <v>369</v>
      </c>
      <c r="N48" s="103" t="str">
        <f>REPLACE("00,00*",1,5,(ROUND(4.28*$P$34,2))*Belarus)</f>
        <v>363,8*</v>
      </c>
      <c r="O48" s="103" t="s">
        <v>369</v>
      </c>
      <c r="P48" s="103" t="s">
        <v>369</v>
      </c>
    </row>
    <row r="49" spans="1:16" ht="12.75" customHeight="1">
      <c r="A49" s="1943" t="str">
        <f>REPLACE("* цены рассчитаны пересчетом из евро по курсу 00,00 руб. за 1 евро",47,5,P34)</f>
        <v>* цены рассчитаны пересчетом из евро по курсу 85 руб. за 1 евро</v>
      </c>
      <c r="B49" s="1943"/>
      <c r="C49" s="1943"/>
      <c r="D49" s="1943"/>
      <c r="E49" s="1943"/>
      <c r="F49" s="1943"/>
      <c r="G49" s="1943"/>
      <c r="H49" s="1943"/>
      <c r="I49" s="1943"/>
      <c r="J49" s="1943"/>
      <c r="K49" s="1943"/>
      <c r="L49" s="1943"/>
      <c r="M49" s="1943"/>
      <c r="N49" s="1943"/>
      <c r="O49" s="1943"/>
      <c r="P49" s="1943"/>
    </row>
    <row r="50" spans="1:16">
      <c r="A50" s="1942" t="s">
        <v>6538</v>
      </c>
      <c r="B50" s="1942"/>
      <c r="C50" s="1942"/>
      <c r="D50" s="1942"/>
      <c r="E50" s="1942"/>
      <c r="F50" s="1942"/>
      <c r="G50" s="1942"/>
      <c r="H50" s="1942"/>
      <c r="I50" s="1942"/>
      <c r="J50" s="1942"/>
      <c r="K50" s="1942"/>
      <c r="L50" s="1942"/>
      <c r="M50" s="1942"/>
      <c r="N50" s="1942"/>
      <c r="O50" s="1942"/>
      <c r="P50" s="1942"/>
    </row>
    <row r="51" spans="1:16" ht="15" customHeight="1"/>
  </sheetData>
  <mergeCells count="74">
    <mergeCell ref="L6:P6"/>
    <mergeCell ref="A2:L2"/>
    <mergeCell ref="A1:D1"/>
    <mergeCell ref="A6:A7"/>
    <mergeCell ref="B6:B7"/>
    <mergeCell ref="C6:G6"/>
    <mergeCell ref="I6:J7"/>
    <mergeCell ref="K6:K7"/>
    <mergeCell ref="A8:A14"/>
    <mergeCell ref="C8:E8"/>
    <mergeCell ref="I8:J21"/>
    <mergeCell ref="L8:N8"/>
    <mergeCell ref="C9:E9"/>
    <mergeCell ref="L9:N9"/>
    <mergeCell ref="C10:E10"/>
    <mergeCell ref="L10:N16"/>
    <mergeCell ref="A15:A18"/>
    <mergeCell ref="C17:E17"/>
    <mergeCell ref="O10:O16"/>
    <mergeCell ref="P10:P16"/>
    <mergeCell ref="C11:E11"/>
    <mergeCell ref="C12:E12"/>
    <mergeCell ref="C13:E13"/>
    <mergeCell ref="C14:E14"/>
    <mergeCell ref="C15:E15"/>
    <mergeCell ref="C16:E16"/>
    <mergeCell ref="L17:N21"/>
    <mergeCell ref="O17:O21"/>
    <mergeCell ref="P17:P21"/>
    <mergeCell ref="C18:E18"/>
    <mergeCell ref="A19:A20"/>
    <mergeCell ref="C19:E19"/>
    <mergeCell ref="C20:E20"/>
    <mergeCell ref="A21:A22"/>
    <mergeCell ref="C21:E21"/>
    <mergeCell ref="C22:E22"/>
    <mergeCell ref="I27:K27"/>
    <mergeCell ref="L27:P27"/>
    <mergeCell ref="A23:A25"/>
    <mergeCell ref="C23:E23"/>
    <mergeCell ref="C24:E24"/>
    <mergeCell ref="C25:E25"/>
    <mergeCell ref="I25:K25"/>
    <mergeCell ref="L25:P25"/>
    <mergeCell ref="C35:C37"/>
    <mergeCell ref="D35:P35"/>
    <mergeCell ref="D36:G36"/>
    <mergeCell ref="H36:L36"/>
    <mergeCell ref="M36:P36"/>
    <mergeCell ref="A26:A27"/>
    <mergeCell ref="C26:E26"/>
    <mergeCell ref="I26:K26"/>
    <mergeCell ref="L26:P26"/>
    <mergeCell ref="C27:E27"/>
    <mergeCell ref="H38:I38"/>
    <mergeCell ref="H39:I39"/>
    <mergeCell ref="H40:I40"/>
    <mergeCell ref="H41:I41"/>
    <mergeCell ref="H42:I42"/>
    <mergeCell ref="A28:P28"/>
    <mergeCell ref="A29:P29"/>
    <mergeCell ref="A30:P30"/>
    <mergeCell ref="A35:A37"/>
    <mergeCell ref="B35:B37"/>
    <mergeCell ref="A31:P31"/>
    <mergeCell ref="A50:P50"/>
    <mergeCell ref="A49:P49"/>
    <mergeCell ref="H43:I43"/>
    <mergeCell ref="H44:I44"/>
    <mergeCell ref="H45:I45"/>
    <mergeCell ref="H46:I46"/>
    <mergeCell ref="H47:I47"/>
    <mergeCell ref="H48:I48"/>
    <mergeCell ref="H37:I37"/>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59" orientation="landscape" horizontalDpi="300" verticalDpi="300" r:id="rId1"/>
  <headerFooter scaleWithDoc="0">
    <oddHeader xml:space="preserve">&amp;L&amp;G&amp;R&amp;5Центр поддержки клиентов Grand Line: +7 (495) 748-38-38
cайт: www.grandline.ru   </oddHeader>
    <oddFooter>&amp;R&amp;5Страница 14</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M35"/>
  <sheetViews>
    <sheetView topLeftCell="B1" zoomScale="70" zoomScaleNormal="70" zoomScaleSheetLayoutView="100" workbookViewId="0">
      <selection activeCell="J25" sqref="J25:K25"/>
    </sheetView>
  </sheetViews>
  <sheetFormatPr defaultColWidth="30.42578125" defaultRowHeight="12.75"/>
  <cols>
    <col min="1" max="1" width="37.5703125" style="46" customWidth="1"/>
    <col min="2" max="2" width="18.140625" style="46" customWidth="1"/>
    <col min="3" max="3" width="18.7109375" style="46" customWidth="1"/>
    <col min="4" max="4" width="20.140625" style="46" customWidth="1"/>
    <col min="5" max="5" width="20.85546875" style="46" customWidth="1"/>
    <col min="6" max="6" width="3.28515625" style="54" customWidth="1"/>
    <col min="7" max="7" width="13" style="184" customWidth="1"/>
    <col min="8" max="8" width="13.140625" style="46" customWidth="1"/>
    <col min="9" max="9" width="17" style="46" customWidth="1"/>
    <col min="10" max="10" width="14" style="46" customWidth="1"/>
    <col min="11" max="11" width="12.7109375" style="46" customWidth="1"/>
    <col min="12" max="12" width="9.28515625" style="46" customWidth="1"/>
    <col min="13" max="13" width="9.7109375" style="46" customWidth="1"/>
    <col min="14" max="16384" width="30.42578125" style="46"/>
  </cols>
  <sheetData>
    <row r="1" spans="1:13">
      <c r="A1" s="1666" t="s">
        <v>312</v>
      </c>
      <c r="B1" s="1666"/>
      <c r="C1" s="1666"/>
      <c r="D1" s="1666"/>
      <c r="F1" s="46"/>
      <c r="G1" s="46"/>
      <c r="I1" s="1"/>
    </row>
    <row r="2" spans="1:13" ht="18.75" thickBot="1">
      <c r="A2" s="1273" t="s">
        <v>3787</v>
      </c>
      <c r="B2" s="1273"/>
      <c r="C2" s="1273"/>
      <c r="D2" s="1273"/>
      <c r="E2" s="1273"/>
      <c r="F2" s="1273"/>
      <c r="G2" s="1273"/>
      <c r="H2" s="1273"/>
      <c r="I2" s="746"/>
      <c r="J2" s="746"/>
      <c r="K2" s="734" t="s">
        <v>313</v>
      </c>
      <c r="L2" s="1973">
        <v>43276</v>
      </c>
      <c r="M2" s="1973"/>
    </row>
    <row r="3" spans="1:13" ht="12.75" customHeight="1">
      <c r="A3" s="319"/>
      <c r="G3" s="320"/>
      <c r="K3" s="2" t="s">
        <v>1450</v>
      </c>
      <c r="L3" s="1974">
        <v>42570</v>
      </c>
      <c r="M3" s="1974"/>
    </row>
    <row r="4" spans="1:13">
      <c r="A4" s="1491" t="s">
        <v>1451</v>
      </c>
      <c r="B4" s="1398" t="s">
        <v>1452</v>
      </c>
      <c r="C4" s="1975" t="s">
        <v>769</v>
      </c>
      <c r="D4" s="1975"/>
      <c r="E4" s="1975"/>
      <c r="F4" s="322"/>
      <c r="G4" s="1398" t="s">
        <v>1453</v>
      </c>
      <c r="H4" s="1398"/>
      <c r="I4" s="1398"/>
      <c r="J4" s="1398"/>
      <c r="K4" s="1398"/>
      <c r="L4" s="1398"/>
      <c r="M4" s="1398"/>
    </row>
    <row r="5" spans="1:13">
      <c r="A5" s="1491"/>
      <c r="B5" s="1398"/>
      <c r="C5" s="1352" t="s">
        <v>1454</v>
      </c>
      <c r="D5" s="1352"/>
      <c r="E5" s="126" t="s">
        <v>1455</v>
      </c>
      <c r="F5" s="323"/>
      <c r="G5" s="1976" t="s">
        <v>1071</v>
      </c>
      <c r="H5" s="1976" t="s">
        <v>307</v>
      </c>
      <c r="I5" s="1976"/>
      <c r="J5" s="1976"/>
      <c r="K5" s="1976"/>
      <c r="L5" s="1976" t="s">
        <v>1456</v>
      </c>
      <c r="M5" s="1976" t="s">
        <v>1457</v>
      </c>
    </row>
    <row r="6" spans="1:13">
      <c r="A6" s="1491"/>
      <c r="B6" s="1398"/>
      <c r="C6" s="126" t="s">
        <v>1458</v>
      </c>
      <c r="D6" s="126" t="s">
        <v>1459</v>
      </c>
      <c r="E6" s="126" t="s">
        <v>1459</v>
      </c>
      <c r="F6" s="325"/>
      <c r="G6" s="1976"/>
      <c r="H6" s="1976"/>
      <c r="I6" s="1976"/>
      <c r="J6" s="1976"/>
      <c r="K6" s="1976"/>
      <c r="L6" s="1976"/>
      <c r="M6" s="1976"/>
    </row>
    <row r="7" spans="1:13" ht="39" customHeight="1">
      <c r="A7" s="124" t="s">
        <v>1460</v>
      </c>
      <c r="B7" s="287"/>
      <c r="C7" s="326">
        <f>ROUND(685*Belarus*(1-B35),2)</f>
        <v>685</v>
      </c>
      <c r="D7" s="326">
        <f>ROUND(961*Belarus*(1-C35),2)</f>
        <v>961</v>
      </c>
      <c r="E7" s="326">
        <f>ROUND(1149*Belarus*(1-D35),2)</f>
        <v>1149</v>
      </c>
      <c r="F7" s="69"/>
      <c r="G7" s="287"/>
      <c r="H7" s="1977" t="s">
        <v>1461</v>
      </c>
      <c r="I7" s="1977"/>
      <c r="J7" s="1977"/>
      <c r="K7" s="1977"/>
      <c r="L7" s="43" t="s">
        <v>845</v>
      </c>
      <c r="M7" s="87">
        <f>ROUND(4220*Belarus*(1-G35),2)</f>
        <v>4220</v>
      </c>
    </row>
    <row r="8" spans="1:13" ht="33" customHeight="1">
      <c r="A8" s="112" t="s">
        <v>1462</v>
      </c>
      <c r="B8" s="327"/>
      <c r="C8" s="328">
        <f>ROUND(127*Belarus*(1-B35),2)</f>
        <v>127</v>
      </c>
      <c r="D8" s="328">
        <f>ROUND(204*Belarus*(1-C35),2)</f>
        <v>204</v>
      </c>
      <c r="E8" s="328">
        <f>ROUND(208*Belarus*(1-D35),2)</f>
        <v>208</v>
      </c>
      <c r="F8" s="69"/>
      <c r="G8" s="327"/>
      <c r="H8" s="1978" t="s">
        <v>6577</v>
      </c>
      <c r="I8" s="1979"/>
      <c r="J8" s="1979"/>
      <c r="K8" s="1980"/>
      <c r="L8" s="329" t="s">
        <v>845</v>
      </c>
      <c r="M8" s="87">
        <f>ROUND(5980*Belarus*(1-G35),2)</f>
        <v>5980</v>
      </c>
    </row>
    <row r="9" spans="1:13" ht="39" customHeight="1">
      <c r="A9" s="124" t="s">
        <v>1463</v>
      </c>
      <c r="B9" s="287"/>
      <c r="C9" s="328">
        <f>ROUND(109*Belarus*(1-B35),2)</f>
        <v>109</v>
      </c>
      <c r="D9" s="328">
        <f>ROUND(171*Belarus*(1-C35),2)</f>
        <v>171</v>
      </c>
      <c r="E9" s="328">
        <f>ROUND(176*Belarus*(1-D35),2)</f>
        <v>176</v>
      </c>
      <c r="F9" s="69"/>
      <c r="G9" s="287"/>
      <c r="H9" s="1981" t="s">
        <v>779</v>
      </c>
      <c r="I9" s="1981"/>
      <c r="J9" s="1981"/>
      <c r="K9" s="1981"/>
      <c r="L9" s="43" t="s">
        <v>845</v>
      </c>
      <c r="M9" s="114">
        <f>ROUND(360*Belarus*(1-I35),2)</f>
        <v>360</v>
      </c>
    </row>
    <row r="10" spans="1:13" ht="39" customHeight="1">
      <c r="A10" s="112" t="s">
        <v>1464</v>
      </c>
      <c r="B10" s="327"/>
      <c r="C10" s="328">
        <f>ROUND(614*Belarus*(1-B35),2)</f>
        <v>614</v>
      </c>
      <c r="D10" s="328">
        <f>ROUND(868*Belarus*(1-C35),2)</f>
        <v>868</v>
      </c>
      <c r="E10" s="328">
        <f>ROUND(998*Belarus*(1-D35),2)</f>
        <v>998</v>
      </c>
      <c r="F10" s="69"/>
      <c r="G10" s="287"/>
      <c r="H10" s="1981" t="s">
        <v>6637</v>
      </c>
      <c r="I10" s="1981"/>
      <c r="J10" s="1981"/>
      <c r="K10" s="1981"/>
      <c r="L10" s="43" t="s">
        <v>845</v>
      </c>
      <c r="M10" s="87">
        <f>ROUND(325*Belarus*(1-J35),2)</f>
        <v>325</v>
      </c>
    </row>
    <row r="11" spans="1:13" ht="39" customHeight="1">
      <c r="A11" s="124" t="s">
        <v>1465</v>
      </c>
      <c r="B11" s="287"/>
      <c r="C11" s="328">
        <f>ROUND(981*Belarus*(1-B35),2)</f>
        <v>981</v>
      </c>
      <c r="D11" s="328">
        <f>ROUND(1336*Belarus*(1-C35),2)</f>
        <v>1336</v>
      </c>
      <c r="E11" s="328">
        <f>ROUND(1802*Belarus*(1-D35),2)</f>
        <v>1802</v>
      </c>
      <c r="F11" s="69"/>
      <c r="G11" s="1344" t="s">
        <v>1467</v>
      </c>
      <c r="H11" s="1344"/>
      <c r="I11" s="1344"/>
      <c r="J11" s="1344"/>
      <c r="K11" s="1344"/>
      <c r="L11" s="1344"/>
      <c r="M11" s="1344"/>
    </row>
    <row r="12" spans="1:13" ht="13.5" customHeight="1">
      <c r="A12" s="1982" t="s">
        <v>1466</v>
      </c>
      <c r="B12" s="1984"/>
      <c r="C12" s="1986">
        <f>ROUND(262*Belarus*(1-B35),2)</f>
        <v>262</v>
      </c>
      <c r="D12" s="1986">
        <f>ROUND(396*Belarus*(1-C35),2)</f>
        <v>396</v>
      </c>
      <c r="E12" s="1986">
        <f>ROUND(401*Belarus*(1-D35),2)</f>
        <v>401</v>
      </c>
      <c r="F12" s="69"/>
      <c r="G12" s="1332" t="s">
        <v>1469</v>
      </c>
      <c r="H12" s="1332"/>
      <c r="I12" s="1332"/>
      <c r="J12" s="1332"/>
      <c r="K12" s="1332"/>
      <c r="L12" s="1332"/>
      <c r="M12" s="1332"/>
    </row>
    <row r="13" spans="1:13" ht="28.5" customHeight="1">
      <c r="A13" s="1983"/>
      <c r="B13" s="1985"/>
      <c r="C13" s="1987"/>
      <c r="D13" s="1987"/>
      <c r="E13" s="1987"/>
      <c r="F13" s="69"/>
      <c r="G13" s="1332"/>
      <c r="H13" s="1332"/>
      <c r="I13" s="1332"/>
      <c r="J13" s="1332"/>
      <c r="K13" s="1332"/>
      <c r="L13" s="1332"/>
      <c r="M13" s="1332"/>
    </row>
    <row r="14" spans="1:13" ht="39" customHeight="1">
      <c r="A14" s="124" t="s">
        <v>1468</v>
      </c>
      <c r="B14" s="287"/>
      <c r="C14" s="328">
        <f>ROUND(1125*Belarus*(1-B35),2)</f>
        <v>1125</v>
      </c>
      <c r="D14" s="328">
        <f>ROUND(1427*Belarus*(1-C35),2)</f>
        <v>1427</v>
      </c>
      <c r="E14" s="328">
        <f>ROUND(1446*Belarus*(1-D35),2)</f>
        <v>1446</v>
      </c>
      <c r="F14" s="69"/>
      <c r="G14" s="1280" t="s">
        <v>1471</v>
      </c>
      <c r="H14" s="1280"/>
      <c r="I14" s="1280"/>
      <c r="J14" s="1280"/>
      <c r="K14" s="1280"/>
      <c r="L14" s="1280"/>
      <c r="M14" s="1280"/>
    </row>
    <row r="15" spans="1:13" ht="39" customHeight="1">
      <c r="A15" s="112" t="s">
        <v>1470</v>
      </c>
      <c r="B15" s="327"/>
      <c r="C15" s="328">
        <f>ROUND(144*Belarus*(1-B35),2)</f>
        <v>144</v>
      </c>
      <c r="D15" s="328">
        <f>ROUND(182*Belarus*(1-C35),2)</f>
        <v>182</v>
      </c>
      <c r="E15" s="328">
        <f>ROUND(188*Belarus*(1-D35),2)</f>
        <v>188</v>
      </c>
      <c r="F15" s="69"/>
      <c r="G15" s="1344" t="s">
        <v>1067</v>
      </c>
      <c r="H15" s="1344"/>
      <c r="I15" s="1344"/>
      <c r="J15" s="1344"/>
      <c r="K15" s="1344"/>
      <c r="L15" s="1344"/>
      <c r="M15" s="1344"/>
    </row>
    <row r="16" spans="1:13" ht="32.25" customHeight="1">
      <c r="A16" s="124" t="s">
        <v>1472</v>
      </c>
      <c r="B16" s="287"/>
      <c r="C16" s="328">
        <f>ROUND(109*Belarus*(1-B35),2)</f>
        <v>109</v>
      </c>
      <c r="D16" s="328">
        <f>ROUND(142*Belarus*(1-C35),2)</f>
        <v>142</v>
      </c>
      <c r="E16" s="328" t="s">
        <v>369</v>
      </c>
      <c r="F16" s="69"/>
      <c r="G16" s="1332" t="s">
        <v>1474</v>
      </c>
      <c r="H16" s="1280"/>
      <c r="I16" s="1280"/>
      <c r="J16" s="1280"/>
      <c r="K16" s="1280"/>
      <c r="L16" s="1280"/>
      <c r="M16" s="1280"/>
    </row>
    <row r="17" spans="1:7" ht="39" customHeight="1">
      <c r="A17" s="112" t="s">
        <v>1473</v>
      </c>
      <c r="B17" s="327"/>
      <c r="C17" s="328" t="s">
        <v>369</v>
      </c>
      <c r="D17" s="328">
        <f>ROUND(220*Belarus*(1-C35),2)</f>
        <v>220</v>
      </c>
      <c r="E17" s="328">
        <f>ROUND(227*Belarus*(1-D35),2)</f>
        <v>227</v>
      </c>
      <c r="F17" s="69"/>
    </row>
    <row r="18" spans="1:7" ht="39" customHeight="1">
      <c r="A18" s="124" t="s">
        <v>1475</v>
      </c>
      <c r="B18" s="287"/>
      <c r="C18" s="328" t="s">
        <v>369</v>
      </c>
      <c r="D18" s="328" t="s">
        <v>369</v>
      </c>
      <c r="E18" s="328">
        <f>ROUND(168*Belarus*(1-D35),2)</f>
        <v>168</v>
      </c>
      <c r="F18" s="69"/>
      <c r="G18" s="46"/>
    </row>
    <row r="19" spans="1:7" ht="39" customHeight="1">
      <c r="A19" s="112" t="s">
        <v>1476</v>
      </c>
      <c r="B19" s="327"/>
      <c r="C19" s="328">
        <f>ROUND(1341*Belarus*(1-B35),2)</f>
        <v>1341</v>
      </c>
      <c r="D19" s="328">
        <f>ROUND(1686*Belarus*(1-C35),2)</f>
        <v>1686</v>
      </c>
      <c r="E19" s="328">
        <f>ROUND(1732*Belarus*(1-D35),2)</f>
        <v>1732</v>
      </c>
      <c r="F19" s="69"/>
    </row>
    <row r="20" spans="1:7" ht="39" customHeight="1">
      <c r="A20" s="124" t="s">
        <v>1477</v>
      </c>
      <c r="B20" s="287"/>
      <c r="C20" s="328">
        <f>ROUND(856*Belarus*(1-B35),2)</f>
        <v>856</v>
      </c>
      <c r="D20" s="328">
        <f>ROUND(1284*Belarus*(1-C35),2)</f>
        <v>1284</v>
      </c>
      <c r="E20" s="328">
        <f>ROUND(1381*Belarus*(1-D35),2)</f>
        <v>1381</v>
      </c>
      <c r="F20" s="69"/>
    </row>
    <row r="21" spans="1:7" ht="39" customHeight="1">
      <c r="A21" s="112" t="s">
        <v>1478</v>
      </c>
      <c r="B21" s="327"/>
      <c r="C21" s="328">
        <f>ROUND(301*Belarus*(1-B35),2)</f>
        <v>301</v>
      </c>
      <c r="D21" s="328">
        <f>ROUND(452*Belarus*(1-C35),2)</f>
        <v>452</v>
      </c>
      <c r="E21" s="328">
        <f>ROUND(461*Belarus*(1-D35),2)</f>
        <v>461</v>
      </c>
      <c r="F21" s="69"/>
    </row>
    <row r="22" spans="1:7" ht="39" customHeight="1">
      <c r="A22" s="124" t="s">
        <v>1479</v>
      </c>
      <c r="B22" s="287"/>
      <c r="C22" s="328">
        <f>ROUND(248*Belarus*(1-B35),2)</f>
        <v>248</v>
      </c>
      <c r="D22" s="328">
        <f>ROUND(405*Belarus*(1-C35),2)</f>
        <v>405</v>
      </c>
      <c r="E22" s="328">
        <f>ROUND(415*Belarus*(1-D35),2)</f>
        <v>415</v>
      </c>
      <c r="F22" s="69"/>
    </row>
    <row r="23" spans="1:7" ht="39" customHeight="1">
      <c r="A23" s="112" t="s">
        <v>1480</v>
      </c>
      <c r="B23" s="327"/>
      <c r="C23" s="328">
        <f>ROUND(262*Belarus*(1-B35),2)</f>
        <v>262</v>
      </c>
      <c r="D23" s="328">
        <f>ROUND(435*Belarus*(1-C35),2)</f>
        <v>435</v>
      </c>
      <c r="E23" s="328">
        <f>ROUND(441*Belarus*(1-D35),2)</f>
        <v>441</v>
      </c>
      <c r="F23" s="69"/>
    </row>
    <row r="24" spans="1:7" ht="39" customHeight="1">
      <c r="A24" s="124" t="s">
        <v>4467</v>
      </c>
      <c r="B24" s="287"/>
      <c r="C24" s="328">
        <f>ROUND(144*Belarus*(1-B35),2)</f>
        <v>144</v>
      </c>
      <c r="D24" s="328">
        <f>ROUND(253*Belarus*(1-C35),2)</f>
        <v>253</v>
      </c>
      <c r="E24" s="328">
        <f>ROUND(260*Belarus*(1-D35),2)</f>
        <v>260</v>
      </c>
      <c r="F24" s="69"/>
    </row>
    <row r="25" spans="1:7" ht="39" customHeight="1">
      <c r="A25" s="112" t="s">
        <v>1482</v>
      </c>
      <c r="B25" s="327"/>
      <c r="C25" s="328">
        <f>ROUND(109*Belarus*(1-B35),2)</f>
        <v>109</v>
      </c>
      <c r="D25" s="328">
        <f>ROUND(172*Belarus*(1-C35),2)</f>
        <v>172</v>
      </c>
      <c r="E25" s="328">
        <f>ROUND(176*Belarus*(1-D35),2)</f>
        <v>176</v>
      </c>
      <c r="F25" s="69"/>
    </row>
    <row r="26" spans="1:7" ht="39" customHeight="1">
      <c r="A26" s="124" t="s">
        <v>1483</v>
      </c>
      <c r="B26" s="287"/>
      <c r="C26" s="328">
        <f>ROUND(216*Belarus*(1-B35),2)</f>
        <v>216</v>
      </c>
      <c r="D26" s="328">
        <f>ROUND(318*Belarus*(1-C35),2)</f>
        <v>318</v>
      </c>
      <c r="E26" s="328">
        <f>ROUND(331*Belarus*(1-D35),2)</f>
        <v>331</v>
      </c>
      <c r="F26" s="69"/>
    </row>
    <row r="27" spans="1:7" ht="39" customHeight="1">
      <c r="A27" s="112" t="s">
        <v>1484</v>
      </c>
      <c r="B27" s="327"/>
      <c r="C27" s="328">
        <f>ROUND(28*Belarus*(1-B35),2)</f>
        <v>28</v>
      </c>
      <c r="D27" s="328">
        <f>ROUND(40*Belarus*(1-C35),2)</f>
        <v>40</v>
      </c>
      <c r="E27" s="328">
        <f>ROUND(40*Belarus*(1-D35),2)</f>
        <v>40</v>
      </c>
      <c r="F27" s="69"/>
    </row>
    <row r="28" spans="1:7" ht="15" customHeight="1">
      <c r="A28" s="104" t="s">
        <v>1485</v>
      </c>
      <c r="B28" s="936"/>
      <c r="C28" s="1988">
        <f>ROUND(62*Belarus*(1-E35),2)</f>
        <v>62</v>
      </c>
      <c r="D28" s="1989"/>
      <c r="E28" s="1990"/>
      <c r="F28" s="69"/>
    </row>
    <row r="29" spans="1:7" ht="26.25" customHeight="1">
      <c r="A29" s="1332" t="s">
        <v>4468</v>
      </c>
      <c r="B29" s="1332"/>
      <c r="C29" s="1332"/>
      <c r="D29" s="1332"/>
      <c r="E29" s="1332"/>
      <c r="F29" s="330"/>
    </row>
    <row r="34" spans="1:11" ht="25.5">
      <c r="A34" s="1888" t="s">
        <v>508</v>
      </c>
      <c r="B34" s="143" t="s">
        <v>1486</v>
      </c>
      <c r="C34" s="143" t="s">
        <v>1487</v>
      </c>
      <c r="D34" s="141" t="s">
        <v>1488</v>
      </c>
      <c r="E34" s="1339" t="s">
        <v>1489</v>
      </c>
      <c r="F34" s="1339"/>
      <c r="G34" s="1339" t="s">
        <v>152</v>
      </c>
      <c r="H34" s="1339"/>
      <c r="I34" s="141" t="s">
        <v>211</v>
      </c>
      <c r="J34" s="1339" t="s">
        <v>6636</v>
      </c>
      <c r="K34" s="1339"/>
    </row>
    <row r="35" spans="1:11">
      <c r="A35" s="1889"/>
      <c r="B35" s="148">
        <v>0</v>
      </c>
      <c r="C35" s="129">
        <v>0</v>
      </c>
      <c r="D35" s="129">
        <v>0</v>
      </c>
      <c r="E35" s="1331">
        <v>0</v>
      </c>
      <c r="F35" s="1331"/>
      <c r="G35" s="1331">
        <v>0</v>
      </c>
      <c r="H35" s="1331"/>
      <c r="I35" s="129">
        <v>0</v>
      </c>
      <c r="J35" s="1331">
        <v>0</v>
      </c>
      <c r="K35" s="1331"/>
    </row>
  </sheetData>
  <sheetProtection selectLockedCells="1" selectUnlockedCells="1"/>
  <mergeCells count="36">
    <mergeCell ref="G35:H35"/>
    <mergeCell ref="J35:K35"/>
    <mergeCell ref="G14:M14"/>
    <mergeCell ref="G15:M15"/>
    <mergeCell ref="G16:M16"/>
    <mergeCell ref="C28:E28"/>
    <mergeCell ref="A29:E29"/>
    <mergeCell ref="A34:A35"/>
    <mergeCell ref="E34:F34"/>
    <mergeCell ref="G34:H34"/>
    <mergeCell ref="J34:K34"/>
    <mergeCell ref="E35:F35"/>
    <mergeCell ref="H10:K10"/>
    <mergeCell ref="G11:M11"/>
    <mergeCell ref="A12:A13"/>
    <mergeCell ref="B12:B13"/>
    <mergeCell ref="C12:C13"/>
    <mergeCell ref="D12:D13"/>
    <mergeCell ref="E12:E13"/>
    <mergeCell ref="G12:M13"/>
    <mergeCell ref="H5:K6"/>
    <mergeCell ref="L5:L6"/>
    <mergeCell ref="M5:M6"/>
    <mergeCell ref="H7:K7"/>
    <mergeCell ref="H8:K8"/>
    <mergeCell ref="H9:K9"/>
    <mergeCell ref="A1:D1"/>
    <mergeCell ref="A2:H2"/>
    <mergeCell ref="L2:M2"/>
    <mergeCell ref="L3:M3"/>
    <mergeCell ref="A4:A6"/>
    <mergeCell ref="B4:B6"/>
    <mergeCell ref="C4:E4"/>
    <mergeCell ref="G4:M4"/>
    <mergeCell ref="C5:D5"/>
    <mergeCell ref="G5:G6"/>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63"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15</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L41"/>
  <sheetViews>
    <sheetView topLeftCell="B1" zoomScale="70" zoomScaleNormal="70" zoomScaleSheetLayoutView="115" workbookViewId="0">
      <selection activeCell="J25" sqref="J25:K25"/>
    </sheetView>
  </sheetViews>
  <sheetFormatPr defaultRowHeight="12.75"/>
  <cols>
    <col min="1" max="1" width="19.5703125" style="46" customWidth="1"/>
    <col min="2" max="2" width="42.28515625" style="46" customWidth="1"/>
    <col min="3" max="3" width="14.28515625" style="46" customWidth="1"/>
    <col min="4" max="4" width="8.5703125" style="46" customWidth="1"/>
    <col min="5" max="5" width="12.7109375" style="46" customWidth="1"/>
    <col min="6" max="6" width="12.7109375" style="54" customWidth="1"/>
    <col min="7" max="7" width="4.7109375" style="46" customWidth="1"/>
    <col min="8" max="8" width="22.140625" style="46" customWidth="1"/>
    <col min="9" max="9" width="40.28515625" style="46" customWidth="1"/>
    <col min="10" max="10" width="15.42578125" style="46" customWidth="1"/>
    <col min="11" max="11" width="8.7109375" style="46" customWidth="1"/>
    <col min="12" max="12" width="13.85546875" style="46" customWidth="1"/>
    <col min="13" max="16384" width="9.140625" style="46"/>
  </cols>
  <sheetData>
    <row r="1" spans="1:12">
      <c r="A1" s="1903" t="s">
        <v>312</v>
      </c>
      <c r="B1" s="1903"/>
      <c r="C1" s="1903"/>
      <c r="D1" s="1903"/>
      <c r="E1" s="1903"/>
      <c r="F1" s="46"/>
    </row>
    <row r="2" spans="1:12">
      <c r="B2" s="1"/>
      <c r="C2" s="1"/>
      <c r="D2" s="1"/>
      <c r="E2" s="1"/>
      <c r="F2" s="1"/>
      <c r="J2" s="2" t="s">
        <v>313</v>
      </c>
      <c r="K2" s="1991">
        <v>43276</v>
      </c>
      <c r="L2" s="1992"/>
    </row>
    <row r="3" spans="1:12" ht="18.75" thickBot="1">
      <c r="A3" s="1482" t="s">
        <v>1490</v>
      </c>
      <c r="B3" s="1482"/>
      <c r="C3" s="1482"/>
      <c r="D3" s="1482"/>
      <c r="E3" s="1482"/>
      <c r="F3" s="1482"/>
      <c r="H3" s="1482" t="s">
        <v>1491</v>
      </c>
      <c r="I3" s="1482"/>
      <c r="J3" s="1482"/>
      <c r="K3" s="1482"/>
      <c r="L3" s="1482"/>
    </row>
    <row r="4" spans="1:12">
      <c r="D4" s="2" t="s">
        <v>804</v>
      </c>
      <c r="E4" s="1679">
        <v>43027</v>
      </c>
      <c r="F4" s="1679"/>
      <c r="G4" s="331"/>
      <c r="K4" s="2" t="s">
        <v>804</v>
      </c>
      <c r="L4" s="239">
        <v>42979</v>
      </c>
    </row>
    <row r="5" spans="1:12">
      <c r="A5" s="1566" t="s">
        <v>1071</v>
      </c>
      <c r="B5" s="1566" t="s">
        <v>1492</v>
      </c>
      <c r="C5" s="1566" t="s">
        <v>283</v>
      </c>
      <c r="D5" s="1566" t="s">
        <v>622</v>
      </c>
      <c r="E5" s="1491" t="s">
        <v>1493</v>
      </c>
      <c r="F5" s="1491"/>
      <c r="G5" s="318"/>
      <c r="H5" s="1491" t="s">
        <v>1071</v>
      </c>
      <c r="I5" s="1491" t="s">
        <v>1492</v>
      </c>
      <c r="J5" s="1491" t="s">
        <v>283</v>
      </c>
      <c r="K5" s="1491" t="s">
        <v>622</v>
      </c>
      <c r="L5" s="1388" t="s">
        <v>1494</v>
      </c>
    </row>
    <row r="6" spans="1:12">
      <c r="A6" s="1567"/>
      <c r="B6" s="1567"/>
      <c r="C6" s="1567"/>
      <c r="D6" s="1567"/>
      <c r="E6" s="247" t="s">
        <v>289</v>
      </c>
      <c r="F6" s="247" t="s">
        <v>339</v>
      </c>
      <c r="G6" s="318"/>
      <c r="H6" s="1491"/>
      <c r="I6" s="1491"/>
      <c r="J6" s="1491"/>
      <c r="K6" s="1491"/>
      <c r="L6" s="1388"/>
    </row>
    <row r="7" spans="1:12" ht="22.5" customHeight="1">
      <c r="A7" s="1907"/>
      <c r="B7" s="104" t="s">
        <v>1495</v>
      </c>
      <c r="C7" s="300" t="s">
        <v>1496</v>
      </c>
      <c r="D7" s="1993" t="s">
        <v>640</v>
      </c>
      <c r="E7" s="257" t="s">
        <v>369</v>
      </c>
      <c r="F7" s="219">
        <f>ROUND(373*Belarus*(1-B41),2)</f>
        <v>373</v>
      </c>
      <c r="H7" s="1907"/>
      <c r="I7" s="1995" t="s">
        <v>1497</v>
      </c>
      <c r="J7" s="1900" t="s">
        <v>1498</v>
      </c>
      <c r="K7" s="1993" t="s">
        <v>845</v>
      </c>
      <c r="L7" s="1999">
        <f>ROUND(513*Belarus*(1-C41),2)</f>
        <v>513</v>
      </c>
    </row>
    <row r="8" spans="1:12" ht="20.25" customHeight="1">
      <c r="A8" s="1908"/>
      <c r="B8" s="104" t="s">
        <v>1499</v>
      </c>
      <c r="C8" s="300" t="s">
        <v>1496</v>
      </c>
      <c r="D8" s="1994"/>
      <c r="E8" s="219">
        <f>ROUND(472*Belarus*(1-B41),2)</f>
        <v>472</v>
      </c>
      <c r="F8" s="219" t="s">
        <v>369</v>
      </c>
      <c r="H8" s="1908"/>
      <c r="I8" s="1996"/>
      <c r="J8" s="1997"/>
      <c r="K8" s="1998"/>
      <c r="L8" s="2000"/>
    </row>
    <row r="9" spans="1:12" ht="36" customHeight="1">
      <c r="A9" s="132"/>
      <c r="B9" s="124" t="s">
        <v>1462</v>
      </c>
      <c r="C9" s="44" t="s">
        <v>1496</v>
      </c>
      <c r="D9" s="333" t="s">
        <v>640</v>
      </c>
      <c r="E9" s="219">
        <f>ROUND(66*Belarus*(1-B41),2)</f>
        <v>66</v>
      </c>
      <c r="F9" s="219" t="s">
        <v>369</v>
      </c>
      <c r="H9" s="287"/>
      <c r="I9" s="124" t="s">
        <v>1462</v>
      </c>
      <c r="J9" s="44" t="s">
        <v>1496</v>
      </c>
      <c r="K9" s="333" t="s">
        <v>845</v>
      </c>
      <c r="L9" s="236">
        <f>ROUND(124*Belarus*(1-C41),2)</f>
        <v>124</v>
      </c>
    </row>
    <row r="10" spans="1:12" ht="36" customHeight="1">
      <c r="A10" s="132"/>
      <c r="B10" s="124" t="s">
        <v>1500</v>
      </c>
      <c r="C10" s="44" t="s">
        <v>1496</v>
      </c>
      <c r="D10" s="333" t="s">
        <v>640</v>
      </c>
      <c r="E10" s="219">
        <f>ROUND(64*Belarus*(1-B41),2)</f>
        <v>64</v>
      </c>
      <c r="F10" s="219">
        <f>ROUND(56*Belarus*(1-B41),2)</f>
        <v>56</v>
      </c>
      <c r="H10" s="287"/>
      <c r="I10" s="124" t="s">
        <v>1463</v>
      </c>
      <c r="J10" s="44" t="s">
        <v>1496</v>
      </c>
      <c r="K10" s="333" t="s">
        <v>845</v>
      </c>
      <c r="L10" s="236">
        <f>ROUND(81*Belarus*(1-C41),2)</f>
        <v>81</v>
      </c>
    </row>
    <row r="11" spans="1:12" ht="40.5" customHeight="1">
      <c r="A11" s="132"/>
      <c r="B11" s="124" t="s">
        <v>1501</v>
      </c>
      <c r="C11" s="44" t="s">
        <v>1496</v>
      </c>
      <c r="D11" s="333" t="s">
        <v>640</v>
      </c>
      <c r="E11" s="219">
        <f>ROUND(340*Belarus*(1-B41),2)</f>
        <v>340</v>
      </c>
      <c r="F11" s="219">
        <f>ROUND(318*Belarus*(1-B41),2)</f>
        <v>318</v>
      </c>
      <c r="H11" s="287"/>
      <c r="I11" s="124" t="s">
        <v>1502</v>
      </c>
      <c r="J11" s="44" t="s">
        <v>1498</v>
      </c>
      <c r="K11" s="333" t="s">
        <v>845</v>
      </c>
      <c r="L11" s="236">
        <f>ROUND(410*Belarus*(1-C41),2)</f>
        <v>410</v>
      </c>
    </row>
    <row r="12" spans="1:12" ht="37.5" customHeight="1">
      <c r="A12" s="132"/>
      <c r="B12" s="124" t="s">
        <v>1503</v>
      </c>
      <c r="C12" s="44" t="s">
        <v>1496</v>
      </c>
      <c r="D12" s="333" t="s">
        <v>640</v>
      </c>
      <c r="E12" s="219">
        <f>ROUND(374*Belarus*(1-B41),2)</f>
        <v>374</v>
      </c>
      <c r="F12" s="219">
        <f>ROUND(356*Belarus*(1-B41),2)</f>
        <v>356</v>
      </c>
      <c r="H12" s="287"/>
      <c r="I12" s="124" t="s">
        <v>1504</v>
      </c>
      <c r="J12" s="44" t="s">
        <v>1498</v>
      </c>
      <c r="K12" s="333" t="s">
        <v>845</v>
      </c>
      <c r="L12" s="236">
        <f>ROUND(410*Belarus*(1-C41),2)</f>
        <v>410</v>
      </c>
    </row>
    <row r="13" spans="1:12" ht="41.25" customHeight="1">
      <c r="A13" s="132"/>
      <c r="B13" s="124" t="s">
        <v>1505</v>
      </c>
      <c r="C13" s="44" t="s">
        <v>1496</v>
      </c>
      <c r="D13" s="333" t="s">
        <v>640</v>
      </c>
      <c r="E13" s="219">
        <f>ROUND(66*Belarus*(1-B41),2)</f>
        <v>66</v>
      </c>
      <c r="F13" s="219">
        <f>ROUND(61*Belarus*(1-B41),2)</f>
        <v>61</v>
      </c>
      <c r="H13" s="287"/>
      <c r="I13" s="124" t="s">
        <v>1466</v>
      </c>
      <c r="J13" s="44" t="s">
        <v>1496</v>
      </c>
      <c r="K13" s="333" t="s">
        <v>845</v>
      </c>
      <c r="L13" s="236">
        <f>ROUND(238*Belarus*(1-C41),2)</f>
        <v>238</v>
      </c>
    </row>
    <row r="14" spans="1:12" ht="32.25" customHeight="1">
      <c r="A14" s="287"/>
      <c r="B14" s="124" t="s">
        <v>1506</v>
      </c>
      <c r="C14" s="44" t="s">
        <v>1496</v>
      </c>
      <c r="D14" s="333" t="s">
        <v>640</v>
      </c>
      <c r="E14" s="219">
        <f>ROUND(89*Belarus*(1-B41),2)</f>
        <v>89</v>
      </c>
      <c r="F14" s="219">
        <f>ROUND(85*Belarus*(1-B41),2)</f>
        <v>85</v>
      </c>
      <c r="H14" s="1907"/>
      <c r="I14" s="1995" t="s">
        <v>1506</v>
      </c>
      <c r="J14" s="1900" t="s">
        <v>1498</v>
      </c>
      <c r="K14" s="1993" t="s">
        <v>845</v>
      </c>
      <c r="L14" s="1999">
        <f>ROUND(113*Belarus*(1-C41),2)</f>
        <v>113</v>
      </c>
    </row>
    <row r="15" spans="1:12" ht="33" customHeight="1">
      <c r="A15" s="287"/>
      <c r="B15" s="124" t="s">
        <v>1507</v>
      </c>
      <c r="C15" s="44" t="s">
        <v>1496</v>
      </c>
      <c r="D15" s="333" t="s">
        <v>640</v>
      </c>
      <c r="E15" s="219">
        <f>ROUND(110*Belarus*(1-B41),2)</f>
        <v>110</v>
      </c>
      <c r="F15" s="219">
        <f>ROUND(98*Belarus*(1-B41),2)</f>
        <v>98</v>
      </c>
      <c r="H15" s="1909"/>
      <c r="I15" s="2001"/>
      <c r="J15" s="1901"/>
      <c r="K15" s="1994"/>
      <c r="L15" s="2002"/>
    </row>
    <row r="16" spans="1:12" ht="39.75" customHeight="1">
      <c r="A16" s="287"/>
      <c r="B16" s="124" t="s">
        <v>1508</v>
      </c>
      <c r="C16" s="44" t="s">
        <v>1496</v>
      </c>
      <c r="D16" s="333" t="s">
        <v>640</v>
      </c>
      <c r="E16" s="219">
        <f>ROUND(92*Belarus*(1-B41),2)</f>
        <v>92</v>
      </c>
      <c r="F16" s="219">
        <f>ROUND(87*Belarus*(1-B41),2)</f>
        <v>87</v>
      </c>
      <c r="H16" s="1907"/>
      <c r="I16" s="1995" t="s">
        <v>1472</v>
      </c>
      <c r="J16" s="1900" t="s">
        <v>1498</v>
      </c>
      <c r="K16" s="1993" t="s">
        <v>845</v>
      </c>
      <c r="L16" s="1999">
        <f>ROUND(86*Belarus*(1-C41),2)</f>
        <v>86</v>
      </c>
    </row>
    <row r="17" spans="1:12" ht="33" customHeight="1">
      <c r="A17" s="132"/>
      <c r="B17" s="124" t="s">
        <v>1509</v>
      </c>
      <c r="C17" s="44" t="s">
        <v>1510</v>
      </c>
      <c r="D17" s="333" t="s">
        <v>640</v>
      </c>
      <c r="E17" s="1540">
        <f>ROUND(25*Belarus*(1-B41),2)</f>
        <v>25</v>
      </c>
      <c r="F17" s="1541"/>
      <c r="H17" s="1909"/>
      <c r="I17" s="2001"/>
      <c r="J17" s="1901"/>
      <c r="K17" s="1994"/>
      <c r="L17" s="2002"/>
    </row>
    <row r="18" spans="1:12" ht="17.25" customHeight="1">
      <c r="A18" s="1907"/>
      <c r="B18" s="124" t="s">
        <v>1511</v>
      </c>
      <c r="C18" s="44" t="s">
        <v>1496</v>
      </c>
      <c r="D18" s="333" t="s">
        <v>640</v>
      </c>
      <c r="E18" s="219">
        <f>ROUND(185*Belarus*(1-B41),2)</f>
        <v>185</v>
      </c>
      <c r="F18" s="219">
        <f>ROUND(172*Belarus*(1-B41),2)</f>
        <v>172</v>
      </c>
      <c r="H18" s="1907"/>
      <c r="I18" s="1995" t="s">
        <v>1512</v>
      </c>
      <c r="J18" s="1900" t="s">
        <v>1496</v>
      </c>
      <c r="K18" s="1993" t="s">
        <v>845</v>
      </c>
      <c r="L18" s="1999">
        <f>ROUND(227*Belarus*(1-C41),2)</f>
        <v>227</v>
      </c>
    </row>
    <row r="19" spans="1:12" ht="17.25" customHeight="1">
      <c r="A19" s="1908"/>
      <c r="B19" s="124" t="s">
        <v>1513</v>
      </c>
      <c r="C19" s="44" t="s">
        <v>1496</v>
      </c>
      <c r="D19" s="333" t="s">
        <v>640</v>
      </c>
      <c r="E19" s="257">
        <f>ROUND(380*Belarus*(1-B41),2)</f>
        <v>380</v>
      </c>
      <c r="F19" s="219" t="s">
        <v>369</v>
      </c>
      <c r="H19" s="1908"/>
      <c r="I19" s="2001"/>
      <c r="J19" s="1901"/>
      <c r="K19" s="1994"/>
      <c r="L19" s="2002"/>
    </row>
    <row r="20" spans="1:12" ht="17.25" customHeight="1">
      <c r="A20" s="1908"/>
      <c r="B20" s="124" t="s">
        <v>1514</v>
      </c>
      <c r="C20" s="44" t="s">
        <v>1496</v>
      </c>
      <c r="D20" s="333" t="s">
        <v>640</v>
      </c>
      <c r="E20" s="257" t="s">
        <v>369</v>
      </c>
      <c r="F20" s="257">
        <f>ROUND(425*Belarus*(1-B41),2)</f>
        <v>425</v>
      </c>
      <c r="H20" s="1908"/>
      <c r="I20" s="1995" t="s">
        <v>1515</v>
      </c>
      <c r="J20" s="1900" t="s">
        <v>1496</v>
      </c>
      <c r="K20" s="1993" t="s">
        <v>845</v>
      </c>
      <c r="L20" s="1999">
        <f>ROUND(691*Belarus*(1-C41),2)</f>
        <v>691</v>
      </c>
    </row>
    <row r="21" spans="1:12" ht="17.25" customHeight="1">
      <c r="A21" s="1909"/>
      <c r="B21" s="124" t="s">
        <v>1516</v>
      </c>
      <c r="C21" s="44" t="s">
        <v>1496</v>
      </c>
      <c r="D21" s="333" t="s">
        <v>640</v>
      </c>
      <c r="E21" s="219">
        <f>ROUND(530*Belarus*(1-B41),2)</f>
        <v>530</v>
      </c>
      <c r="F21" s="219" t="s">
        <v>369</v>
      </c>
      <c r="H21" s="1909"/>
      <c r="I21" s="2001"/>
      <c r="J21" s="1901"/>
      <c r="K21" s="1994"/>
      <c r="L21" s="2002"/>
    </row>
    <row r="22" spans="1:12" ht="24.75" customHeight="1">
      <c r="A22" s="1907"/>
      <c r="B22" s="124" t="s">
        <v>1517</v>
      </c>
      <c r="C22" s="44" t="s">
        <v>1496</v>
      </c>
      <c r="D22" s="333" t="s">
        <v>640</v>
      </c>
      <c r="E22" s="219">
        <f>ROUND(194*Belarus*(1-B41),2)</f>
        <v>194</v>
      </c>
      <c r="F22" s="219" t="s">
        <v>369</v>
      </c>
      <c r="H22" s="1907"/>
      <c r="I22" s="1995" t="s">
        <v>1518</v>
      </c>
      <c r="J22" s="1900" t="s">
        <v>1496</v>
      </c>
      <c r="K22" s="1993" t="s">
        <v>845</v>
      </c>
      <c r="L22" s="1999">
        <f>ROUND(216*Belarus*(1-C41),2)</f>
        <v>216</v>
      </c>
    </row>
    <row r="23" spans="1:12" ht="19.5" customHeight="1">
      <c r="A23" s="1909"/>
      <c r="B23" s="124" t="s">
        <v>1519</v>
      </c>
      <c r="C23" s="44" t="s">
        <v>1496</v>
      </c>
      <c r="D23" s="333" t="s">
        <v>640</v>
      </c>
      <c r="E23" s="219">
        <f>ROUND(557*Belarus*(1-B41),2)</f>
        <v>557</v>
      </c>
      <c r="F23" s="219" t="s">
        <v>369</v>
      </c>
      <c r="H23" s="1909"/>
      <c r="I23" s="2001"/>
      <c r="J23" s="1901"/>
      <c r="K23" s="1994"/>
      <c r="L23" s="2002"/>
    </row>
    <row r="24" spans="1:12" ht="44.25" customHeight="1">
      <c r="A24" s="132"/>
      <c r="B24" s="124" t="s">
        <v>1520</v>
      </c>
      <c r="C24" s="44" t="s">
        <v>1496</v>
      </c>
      <c r="D24" s="333" t="s">
        <v>640</v>
      </c>
      <c r="E24" s="219">
        <f>ROUND(87*Belarus*(1-B41),2)</f>
        <v>87</v>
      </c>
      <c r="F24" s="219">
        <f>ROUND(79*Belarus*(1-B41),2)</f>
        <v>79</v>
      </c>
      <c r="H24" s="287"/>
      <c r="I24" s="124" t="s">
        <v>1480</v>
      </c>
      <c r="J24" s="44" t="s">
        <v>1496</v>
      </c>
      <c r="K24" s="333" t="s">
        <v>845</v>
      </c>
      <c r="L24" s="236">
        <f>ROUND(227*Belarus*(1-C41),2)</f>
        <v>227</v>
      </c>
    </row>
    <row r="25" spans="1:12" ht="39" customHeight="1">
      <c r="A25" s="287"/>
      <c r="B25" s="124" t="s">
        <v>1481</v>
      </c>
      <c r="C25" s="44" t="s">
        <v>1496</v>
      </c>
      <c r="D25" s="333" t="s">
        <v>640</v>
      </c>
      <c r="E25" s="219">
        <f>ROUND(81*Belarus*(1-B41),2)</f>
        <v>81</v>
      </c>
      <c r="F25" s="219">
        <f>ROUND(75*Belarus*(1-B41),2)</f>
        <v>75</v>
      </c>
      <c r="H25" s="287"/>
      <c r="I25" s="124" t="s">
        <v>1481</v>
      </c>
      <c r="J25" s="44" t="s">
        <v>1496</v>
      </c>
      <c r="K25" s="333" t="s">
        <v>845</v>
      </c>
      <c r="L25" s="236">
        <f>ROUND(113*Belarus*(1-C41),2)</f>
        <v>113</v>
      </c>
    </row>
    <row r="26" spans="1:12" ht="36" customHeight="1">
      <c r="A26" s="287"/>
      <c r="B26" s="124" t="s">
        <v>1521</v>
      </c>
      <c r="C26" s="44" t="s">
        <v>1496</v>
      </c>
      <c r="D26" s="333" t="s">
        <v>640</v>
      </c>
      <c r="E26" s="219">
        <f>ROUND(69*Belarus*(1-B41),2)</f>
        <v>69</v>
      </c>
      <c r="F26" s="219">
        <f>ROUND(63*Belarus*(1-B41),2)</f>
        <v>63</v>
      </c>
      <c r="H26" s="287"/>
      <c r="I26" s="124" t="s">
        <v>1521</v>
      </c>
      <c r="J26" s="44" t="s">
        <v>1496</v>
      </c>
      <c r="K26" s="333" t="s">
        <v>845</v>
      </c>
      <c r="L26" s="236">
        <f>ROUND(81*Belarus*(1-C41),2)</f>
        <v>81</v>
      </c>
    </row>
    <row r="27" spans="1:12" ht="36" customHeight="1">
      <c r="A27" s="287"/>
      <c r="B27" s="124" t="s">
        <v>6648</v>
      </c>
      <c r="C27" s="44" t="s">
        <v>1496</v>
      </c>
      <c r="D27" s="333" t="s">
        <v>640</v>
      </c>
      <c r="E27" s="223">
        <f>ROUND(30*Belarus*(1-B41),2)</f>
        <v>30</v>
      </c>
      <c r="F27" s="223">
        <f>ROUND(30*Belarus*(1-B41),2)</f>
        <v>30</v>
      </c>
      <c r="H27" s="287"/>
      <c r="I27" s="124" t="s">
        <v>6648</v>
      </c>
      <c r="J27" s="44" t="s">
        <v>1496</v>
      </c>
      <c r="K27" s="333" t="s">
        <v>640</v>
      </c>
      <c r="L27" s="223">
        <f>ROUND(30*Belarus*(1-C41),2)</f>
        <v>30</v>
      </c>
    </row>
    <row r="28" spans="1:12" ht="8.25" customHeight="1">
      <c r="B28" s="1"/>
      <c r="C28" s="1"/>
      <c r="D28" s="1"/>
      <c r="E28" s="1"/>
      <c r="F28" s="1"/>
      <c r="H28" s="184"/>
      <c r="I28" s="184"/>
      <c r="J28" s="184"/>
      <c r="K28" s="184"/>
      <c r="L28" s="184"/>
    </row>
    <row r="29" spans="1:12">
      <c r="A29" s="1491" t="s">
        <v>1522</v>
      </c>
      <c r="B29" s="1491"/>
      <c r="C29" s="1491"/>
      <c r="D29" s="1491"/>
      <c r="E29" s="1491"/>
      <c r="F29" s="1491"/>
      <c r="H29" s="1535" t="s">
        <v>4488</v>
      </c>
      <c r="I29" s="1733"/>
      <c r="J29" s="1733"/>
      <c r="K29" s="1733"/>
      <c r="L29" s="1536"/>
    </row>
    <row r="30" spans="1:12">
      <c r="A30" s="247" t="s">
        <v>1071</v>
      </c>
      <c r="B30" s="247" t="s">
        <v>307</v>
      </c>
      <c r="C30" s="247"/>
      <c r="D30" s="247" t="s">
        <v>1523</v>
      </c>
      <c r="E30" s="1491" t="s">
        <v>624</v>
      </c>
      <c r="F30" s="1491"/>
      <c r="H30" s="1568"/>
      <c r="I30" s="1735"/>
      <c r="J30" s="1735"/>
      <c r="K30" s="1735"/>
      <c r="L30" s="1569"/>
    </row>
    <row r="31" spans="1:12" ht="40.5" customHeight="1">
      <c r="A31" s="165"/>
      <c r="B31" s="1409" t="s">
        <v>1524</v>
      </c>
      <c r="C31" s="1411"/>
      <c r="D31" s="101" t="s">
        <v>845</v>
      </c>
      <c r="E31" s="1295">
        <f>ROUND(4220*Belarus*(1-F41),2)</f>
        <v>4220</v>
      </c>
      <c r="F31" s="1295"/>
      <c r="H31" s="1779" t="s">
        <v>1525</v>
      </c>
      <c r="I31" s="1780"/>
      <c r="J31" s="1780"/>
      <c r="K31" s="1780"/>
      <c r="L31" s="1781"/>
    </row>
    <row r="32" spans="1:12" ht="41.25" customHeight="1">
      <c r="A32" s="165"/>
      <c r="B32" s="1409" t="s">
        <v>6638</v>
      </c>
      <c r="C32" s="1411"/>
      <c r="D32" s="101" t="s">
        <v>845</v>
      </c>
      <c r="E32" s="1295">
        <f>ROUND(5980*Belarus*(1-F41),2)</f>
        <v>5980</v>
      </c>
      <c r="F32" s="1295"/>
      <c r="G32" s="334"/>
      <c r="H32" s="1779" t="s">
        <v>1526</v>
      </c>
      <c r="I32" s="1780"/>
      <c r="J32" s="1780"/>
      <c r="K32" s="1780"/>
      <c r="L32" s="1781"/>
    </row>
    <row r="33" spans="1:12" ht="31.5" customHeight="1">
      <c r="A33" s="165"/>
      <c r="B33" s="1409" t="s">
        <v>779</v>
      </c>
      <c r="C33" s="1411"/>
      <c r="D33" s="101" t="s">
        <v>845</v>
      </c>
      <c r="E33" s="2003">
        <f>ROUND(360*Belarus*(1-H41),2)</f>
        <v>360</v>
      </c>
      <c r="F33" s="2003"/>
      <c r="G33" s="334"/>
      <c r="H33" s="2004" t="s">
        <v>1127</v>
      </c>
      <c r="I33" s="2005"/>
      <c r="J33" s="2005"/>
      <c r="K33" s="2005"/>
      <c r="L33" s="2006"/>
    </row>
    <row r="34" spans="1:12" ht="33.75" customHeight="1">
      <c r="A34" s="165"/>
      <c r="B34" s="1409" t="s">
        <v>6637</v>
      </c>
      <c r="C34" s="1411"/>
      <c r="D34" s="101" t="s">
        <v>845</v>
      </c>
      <c r="E34" s="1295">
        <f>ROUND(325*Belarus*(1-I41),2)</f>
        <v>325</v>
      </c>
      <c r="F34" s="1295"/>
      <c r="G34" s="334"/>
      <c r="H34" s="1141"/>
      <c r="I34" s="1141"/>
      <c r="J34" s="1141"/>
      <c r="K34" s="1141"/>
      <c r="L34" s="1141"/>
    </row>
    <row r="35" spans="1:12" ht="9.75" customHeight="1">
      <c r="A35" s="334"/>
      <c r="B35" s="335"/>
      <c r="C35" s="335"/>
      <c r="D35" s="334"/>
      <c r="E35" s="334"/>
      <c r="F35" s="334"/>
      <c r="G35" s="334"/>
    </row>
    <row r="36" spans="1:12">
      <c r="G36" s="275"/>
    </row>
    <row r="37" spans="1:12">
      <c r="F37" s="46"/>
    </row>
    <row r="38" spans="1:12">
      <c r="F38" s="46"/>
    </row>
    <row r="39" spans="1:12">
      <c r="F39" s="46"/>
    </row>
    <row r="40" spans="1:12" ht="25.5">
      <c r="A40" s="1888" t="s">
        <v>508</v>
      </c>
      <c r="B40" s="143" t="s">
        <v>1527</v>
      </c>
      <c r="C40" s="1339" t="s">
        <v>1528</v>
      </c>
      <c r="D40" s="1339"/>
      <c r="E40" s="1339"/>
      <c r="F40" s="1339" t="s">
        <v>152</v>
      </c>
      <c r="G40" s="1339"/>
      <c r="H40" s="141" t="s">
        <v>211</v>
      </c>
      <c r="I40" s="1339" t="s">
        <v>6636</v>
      </c>
      <c r="J40" s="1339"/>
    </row>
    <row r="41" spans="1:12">
      <c r="A41" s="1889"/>
      <c r="B41" s="129">
        <v>0</v>
      </c>
      <c r="C41" s="1331">
        <v>0</v>
      </c>
      <c r="D41" s="1331"/>
      <c r="E41" s="1331"/>
      <c r="F41" s="1331">
        <v>0</v>
      </c>
      <c r="G41" s="1331"/>
      <c r="H41" s="129">
        <v>0</v>
      </c>
      <c r="I41" s="1331">
        <v>0</v>
      </c>
      <c r="J41" s="1331"/>
    </row>
  </sheetData>
  <sheetProtection selectLockedCells="1" selectUnlockedCells="1"/>
  <mergeCells count="70">
    <mergeCell ref="B34:C34"/>
    <mergeCell ref="E34:F34"/>
    <mergeCell ref="A40:A41"/>
    <mergeCell ref="C40:E40"/>
    <mergeCell ref="F40:G40"/>
    <mergeCell ref="I40:J40"/>
    <mergeCell ref="C41:E41"/>
    <mergeCell ref="F41:G41"/>
    <mergeCell ref="I41:J41"/>
    <mergeCell ref="B32:C32"/>
    <mergeCell ref="E32:F32"/>
    <mergeCell ref="H32:L32"/>
    <mergeCell ref="B33:C33"/>
    <mergeCell ref="E33:F33"/>
    <mergeCell ref="H33:L33"/>
    <mergeCell ref="A29:F29"/>
    <mergeCell ref="H29:L30"/>
    <mergeCell ref="E30:F30"/>
    <mergeCell ref="B31:C31"/>
    <mergeCell ref="E31:F31"/>
    <mergeCell ref="H31:L31"/>
    <mergeCell ref="A22:A23"/>
    <mergeCell ref="H22:H23"/>
    <mergeCell ref="I22:I23"/>
    <mergeCell ref="J22:J23"/>
    <mergeCell ref="K22:K23"/>
    <mergeCell ref="L22:L23"/>
    <mergeCell ref="A18:A21"/>
    <mergeCell ref="H18:H21"/>
    <mergeCell ref="I18:I19"/>
    <mergeCell ref="J18:J19"/>
    <mergeCell ref="K18:K19"/>
    <mergeCell ref="L18:L19"/>
    <mergeCell ref="I20:I21"/>
    <mergeCell ref="J20:J21"/>
    <mergeCell ref="K20:K21"/>
    <mergeCell ref="L20:L21"/>
    <mergeCell ref="H16:H17"/>
    <mergeCell ref="I16:I17"/>
    <mergeCell ref="J16:J17"/>
    <mergeCell ref="K16:K17"/>
    <mergeCell ref="L16:L17"/>
    <mergeCell ref="E17:F17"/>
    <mergeCell ref="K7:K8"/>
    <mergeCell ref="L7:L8"/>
    <mergeCell ref="H14:H15"/>
    <mergeCell ref="I14:I15"/>
    <mergeCell ref="J14:J15"/>
    <mergeCell ref="K14:K15"/>
    <mergeCell ref="L14:L15"/>
    <mergeCell ref="H5:H6"/>
    <mergeCell ref="I5:I6"/>
    <mergeCell ref="J5:J6"/>
    <mergeCell ref="K5:K6"/>
    <mergeCell ref="L5:L6"/>
    <mergeCell ref="A7:A8"/>
    <mergeCell ref="D7:D8"/>
    <mergeCell ref="H7:H8"/>
    <mergeCell ref="I7:I8"/>
    <mergeCell ref="J7:J8"/>
    <mergeCell ref="A1:E1"/>
    <mergeCell ref="K2:L2"/>
    <mergeCell ref="A3:F3"/>
    <mergeCell ref="H3:L3"/>
    <mergeCell ref="E4:F4"/>
    <mergeCell ref="A5:A6"/>
    <mergeCell ref="B5:B6"/>
    <mergeCell ref="C5:C6"/>
    <mergeCell ref="D5:D6"/>
    <mergeCell ref="E5:F5"/>
  </mergeCells>
  <hyperlinks>
    <hyperlink ref="A1" location="Содержание прайса!A1" display="Вернуться в начало"/>
    <hyperlink ref="A1:E1" location="'Содержание прайса'!A1" display="Вернуться в начало"/>
  </hyperlinks>
  <printOptions horizontalCentered="1"/>
  <pageMargins left="0" right="0" top="0.47244094488188981" bottom="0" header="0" footer="0"/>
  <pageSetup paperSize="9" scale="65"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16</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K33"/>
  <sheetViews>
    <sheetView zoomScale="70" zoomScaleNormal="70" zoomScaleSheetLayoutView="115" workbookViewId="0">
      <selection activeCell="A2" sqref="A2:G2"/>
    </sheetView>
  </sheetViews>
  <sheetFormatPr defaultColWidth="7.85546875" defaultRowHeight="12.75"/>
  <cols>
    <col min="1" max="1" width="15.85546875" style="46" customWidth="1"/>
    <col min="2" max="2" width="34" style="46" customWidth="1"/>
    <col min="3" max="3" width="15.7109375" style="46" customWidth="1"/>
    <col min="4" max="4" width="7" style="46" customWidth="1"/>
    <col min="5" max="5" width="12.7109375" style="54" customWidth="1"/>
    <col min="6" max="6" width="4.140625" style="46" customWidth="1"/>
    <col min="7" max="7" width="16" style="46" customWidth="1"/>
    <col min="8" max="8" width="41.7109375" style="46" customWidth="1"/>
    <col min="9" max="9" width="15.7109375" style="46" customWidth="1"/>
    <col min="10" max="10" width="6.5703125" style="46" customWidth="1"/>
    <col min="11" max="11" width="12.7109375" style="54" customWidth="1"/>
    <col min="12" max="16384" width="7.85546875" style="46"/>
  </cols>
  <sheetData>
    <row r="1" spans="1:11">
      <c r="A1" s="1666" t="s">
        <v>312</v>
      </c>
      <c r="B1" s="1666"/>
      <c r="C1" s="1666"/>
      <c r="D1" s="1666"/>
      <c r="E1" s="46"/>
      <c r="G1" s="336"/>
      <c r="H1" s="336"/>
      <c r="I1" s="336"/>
      <c r="J1" s="336"/>
      <c r="K1" s="46"/>
    </row>
    <row r="2" spans="1:11" ht="21" customHeight="1" thickBot="1">
      <c r="A2" s="1273" t="s">
        <v>1529</v>
      </c>
      <c r="B2" s="1273"/>
      <c r="C2" s="1273"/>
      <c r="D2" s="1273"/>
      <c r="E2" s="1273"/>
      <c r="F2" s="1273"/>
      <c r="G2" s="1273"/>
      <c r="H2" s="745"/>
      <c r="I2" s="735" t="s">
        <v>313</v>
      </c>
      <c r="J2" s="1852">
        <v>43276</v>
      </c>
      <c r="K2" s="2007"/>
    </row>
    <row r="3" spans="1:11">
      <c r="A3" s="337"/>
      <c r="B3" s="1"/>
      <c r="F3" s="331"/>
      <c r="G3" s="337"/>
      <c r="H3" s="1"/>
      <c r="J3" s="338" t="s">
        <v>804</v>
      </c>
      <c r="K3" s="152">
        <v>43160</v>
      </c>
    </row>
    <row r="4" spans="1:11">
      <c r="A4" s="1566" t="s">
        <v>1071</v>
      </c>
      <c r="B4" s="1566" t="s">
        <v>1451</v>
      </c>
      <c r="C4" s="1566" t="s">
        <v>284</v>
      </c>
      <c r="D4" s="1495" t="s">
        <v>622</v>
      </c>
      <c r="E4" s="1495" t="s">
        <v>1530</v>
      </c>
      <c r="F4" s="318"/>
      <c r="G4" s="1566" t="s">
        <v>1071</v>
      </c>
      <c r="H4" s="1566" t="s">
        <v>1451</v>
      </c>
      <c r="I4" s="1566" t="s">
        <v>284</v>
      </c>
      <c r="J4" s="1495" t="s">
        <v>622</v>
      </c>
      <c r="K4" s="1495" t="s">
        <v>1530</v>
      </c>
    </row>
    <row r="5" spans="1:11" ht="15.75" customHeight="1">
      <c r="A5" s="1567"/>
      <c r="B5" s="1567"/>
      <c r="C5" s="1567"/>
      <c r="D5" s="1496"/>
      <c r="E5" s="1567"/>
      <c r="F5" s="318"/>
      <c r="G5" s="1567"/>
      <c r="H5" s="1567"/>
      <c r="I5" s="1567"/>
      <c r="J5" s="1496"/>
      <c r="K5" s="1567"/>
    </row>
    <row r="6" spans="1:11" ht="27" customHeight="1">
      <c r="A6" s="1580"/>
      <c r="B6" s="2008" t="s">
        <v>1531</v>
      </c>
      <c r="C6" s="163" t="s">
        <v>308</v>
      </c>
      <c r="D6" s="1297" t="s">
        <v>640</v>
      </c>
      <c r="E6" s="339">
        <f>ROUND(370*Belarus*(1-B30),2)</f>
        <v>370</v>
      </c>
      <c r="G6" s="2009"/>
      <c r="H6" s="2008" t="s">
        <v>3778</v>
      </c>
      <c r="I6" s="163" t="s">
        <v>308</v>
      </c>
      <c r="J6" s="1297" t="s">
        <v>640</v>
      </c>
      <c r="K6" s="339">
        <f>ROUND(443*Belarus*(1-B30),2)</f>
        <v>443</v>
      </c>
    </row>
    <row r="7" spans="1:11" ht="27" customHeight="1">
      <c r="A7" s="1580"/>
      <c r="B7" s="2008"/>
      <c r="C7" s="163" t="s">
        <v>3585</v>
      </c>
      <c r="D7" s="1297"/>
      <c r="E7" s="339">
        <f>ROUND(403*Belarus*(1-B30),2)</f>
        <v>403</v>
      </c>
      <c r="G7" s="2009"/>
      <c r="H7" s="2008"/>
      <c r="I7" s="163" t="s">
        <v>3586</v>
      </c>
      <c r="J7" s="1297"/>
      <c r="K7" s="339">
        <f>ROUND(489*Belarus*(1-B30),2)</f>
        <v>489</v>
      </c>
    </row>
    <row r="8" spans="1:11" ht="27" customHeight="1">
      <c r="A8" s="1580"/>
      <c r="B8" s="2008" t="s">
        <v>1532</v>
      </c>
      <c r="C8" s="163" t="s">
        <v>308</v>
      </c>
      <c r="D8" s="1297" t="s">
        <v>640</v>
      </c>
      <c r="E8" s="339">
        <f>ROUND(130*Belarus*(1-B30),2)</f>
        <v>130</v>
      </c>
      <c r="G8" s="2009"/>
      <c r="H8" s="2008" t="s">
        <v>1533</v>
      </c>
      <c r="I8" s="163" t="s">
        <v>308</v>
      </c>
      <c r="J8" s="1297" t="s">
        <v>640</v>
      </c>
      <c r="K8" s="339">
        <f>ROUND(78*Belarus*(1-B32),2)</f>
        <v>78</v>
      </c>
    </row>
    <row r="9" spans="1:11" ht="27" customHeight="1">
      <c r="A9" s="1580"/>
      <c r="B9" s="2008"/>
      <c r="C9" s="163" t="s">
        <v>3586</v>
      </c>
      <c r="D9" s="1297"/>
      <c r="E9" s="339">
        <f>ROUND(137*Belarus*(1-B30),2)</f>
        <v>137</v>
      </c>
      <c r="G9" s="2009"/>
      <c r="H9" s="2008"/>
      <c r="I9" s="163" t="s">
        <v>3586</v>
      </c>
      <c r="J9" s="1297"/>
      <c r="K9" s="339">
        <f>ROUND(83*Belarus*(1-B32),2)</f>
        <v>83</v>
      </c>
    </row>
    <row r="10" spans="1:11" ht="27" customHeight="1">
      <c r="A10" s="2009"/>
      <c r="B10" s="2008" t="s">
        <v>1534</v>
      </c>
      <c r="C10" s="163" t="s">
        <v>308</v>
      </c>
      <c r="D10" s="1297" t="s">
        <v>640</v>
      </c>
      <c r="E10" s="339">
        <f>ROUND(63*Belarus*(1-B30),2)</f>
        <v>63</v>
      </c>
      <c r="G10" s="2009"/>
      <c r="H10" s="1981" t="s">
        <v>1535</v>
      </c>
      <c r="I10" s="163" t="s">
        <v>308</v>
      </c>
      <c r="J10" s="1297" t="s">
        <v>640</v>
      </c>
      <c r="K10" s="339">
        <f>ROUND(147*Belarus*(1-B30),2)</f>
        <v>147</v>
      </c>
    </row>
    <row r="11" spans="1:11" ht="27" customHeight="1">
      <c r="A11" s="2009"/>
      <c r="B11" s="2008"/>
      <c r="C11" s="163" t="s">
        <v>3586</v>
      </c>
      <c r="D11" s="1297"/>
      <c r="E11" s="339">
        <f>ROUND(66*Belarus*(1-B30),2)</f>
        <v>66</v>
      </c>
      <c r="G11" s="2009"/>
      <c r="H11" s="1981"/>
      <c r="I11" s="163" t="s">
        <v>3586</v>
      </c>
      <c r="J11" s="1297"/>
      <c r="K11" s="339">
        <f>ROUND(154*Belarus*(1-B30),2)</f>
        <v>154</v>
      </c>
    </row>
    <row r="12" spans="1:11" ht="27" customHeight="1">
      <c r="A12" s="2009"/>
      <c r="B12" s="2008" t="s">
        <v>1536</v>
      </c>
      <c r="C12" s="163" t="s">
        <v>308</v>
      </c>
      <c r="D12" s="1297" t="s">
        <v>640</v>
      </c>
      <c r="E12" s="339">
        <f>ROUND(162*Belarus*(1-B30),2)</f>
        <v>162</v>
      </c>
      <c r="G12" s="2009"/>
      <c r="H12" s="2008" t="s">
        <v>1537</v>
      </c>
      <c r="I12" s="163" t="s">
        <v>308</v>
      </c>
      <c r="J12" s="1297" t="s">
        <v>640</v>
      </c>
      <c r="K12" s="339">
        <f>ROUND(140*Belarus*(1-B30),2)</f>
        <v>140</v>
      </c>
    </row>
    <row r="13" spans="1:11" ht="27" customHeight="1">
      <c r="A13" s="2009"/>
      <c r="B13" s="2008"/>
      <c r="C13" s="163" t="s">
        <v>3585</v>
      </c>
      <c r="D13" s="1297"/>
      <c r="E13" s="339">
        <f>ROUND(170*Belarus*(1-B30),2)</f>
        <v>170</v>
      </c>
      <c r="G13" s="2009"/>
      <c r="H13" s="2008"/>
      <c r="I13" s="163" t="s">
        <v>3585</v>
      </c>
      <c r="J13" s="1297"/>
      <c r="K13" s="339">
        <f>ROUND(147*Belarus*(1-B30),2)</f>
        <v>147</v>
      </c>
    </row>
    <row r="14" spans="1:11" ht="27" customHeight="1">
      <c r="A14" s="2009"/>
      <c r="B14" s="2008" t="s">
        <v>1538</v>
      </c>
      <c r="C14" s="163" t="s">
        <v>308</v>
      </c>
      <c r="D14" s="1297" t="s">
        <v>640</v>
      </c>
      <c r="E14" s="339">
        <f>ROUND(237*Belarus*(1-B30),2)</f>
        <v>237</v>
      </c>
      <c r="G14" s="2009"/>
      <c r="H14" s="1981" t="s">
        <v>6299</v>
      </c>
      <c r="I14" s="163" t="s">
        <v>308</v>
      </c>
      <c r="J14" s="1297" t="s">
        <v>640</v>
      </c>
      <c r="K14" s="339">
        <f>ROUND(175*Belarus*(1-B30),2)</f>
        <v>175</v>
      </c>
    </row>
    <row r="15" spans="1:11" ht="27" customHeight="1">
      <c r="A15" s="2009"/>
      <c r="B15" s="2008"/>
      <c r="C15" s="163" t="s">
        <v>3585</v>
      </c>
      <c r="D15" s="1297"/>
      <c r="E15" s="339">
        <f>ROUND(249*Belarus*(1-B30),2)</f>
        <v>249</v>
      </c>
      <c r="G15" s="2009"/>
      <c r="H15" s="1981"/>
      <c r="I15" s="163" t="s">
        <v>3586</v>
      </c>
      <c r="J15" s="1297"/>
      <c r="K15" s="339">
        <f>ROUND(175*Belarus*(1-B30),2)</f>
        <v>175</v>
      </c>
    </row>
    <row r="16" spans="1:11" ht="27" customHeight="1">
      <c r="A16" s="2009"/>
      <c r="B16" s="2008" t="s">
        <v>1539</v>
      </c>
      <c r="C16" s="163" t="s">
        <v>308</v>
      </c>
      <c r="D16" s="1297" t="s">
        <v>640</v>
      </c>
      <c r="E16" s="339">
        <f>ROUND(44*Belarus*(1-B30),2)</f>
        <v>44</v>
      </c>
      <c r="G16" s="2009"/>
      <c r="H16" s="2008" t="s">
        <v>3587</v>
      </c>
      <c r="I16" s="163" t="s">
        <v>308</v>
      </c>
      <c r="J16" s="1297" t="s">
        <v>640</v>
      </c>
      <c r="K16" s="339">
        <f>ROUND(125*Belarus*(1-B30),2)</f>
        <v>125</v>
      </c>
    </row>
    <row r="17" spans="1:11" ht="27" customHeight="1">
      <c r="A17" s="2009"/>
      <c r="B17" s="2008"/>
      <c r="C17" s="163" t="s">
        <v>3586</v>
      </c>
      <c r="D17" s="1297"/>
      <c r="E17" s="339">
        <f>ROUND(49*Belarus*(1-B30),2)</f>
        <v>49</v>
      </c>
      <c r="G17" s="2009"/>
      <c r="H17" s="2008"/>
      <c r="I17" s="163" t="s">
        <v>3586</v>
      </c>
      <c r="J17" s="1297"/>
      <c r="K17" s="339">
        <f>ROUND(125*Belarus*(1-B30),2)</f>
        <v>125</v>
      </c>
    </row>
    <row r="18" spans="1:11" ht="27" customHeight="1">
      <c r="A18" s="2009"/>
      <c r="B18" s="2008" t="s">
        <v>3588</v>
      </c>
      <c r="C18" s="163" t="s">
        <v>308</v>
      </c>
      <c r="D18" s="1297" t="s">
        <v>640</v>
      </c>
      <c r="E18" s="339">
        <f>ROUND(175*Belarus*(1-B30),2)</f>
        <v>175</v>
      </c>
      <c r="G18" s="2009"/>
      <c r="H18" s="2008" t="s">
        <v>1540</v>
      </c>
      <c r="I18" s="163" t="s">
        <v>308</v>
      </c>
      <c r="J18" s="1297" t="s">
        <v>640</v>
      </c>
      <c r="K18" s="339">
        <f>ROUND(54*Belarus*(1-B30),2)</f>
        <v>54</v>
      </c>
    </row>
    <row r="19" spans="1:11" ht="27" customHeight="1">
      <c r="A19" s="2009"/>
      <c r="B19" s="2008"/>
      <c r="C19" s="163" t="s">
        <v>3586</v>
      </c>
      <c r="D19" s="1297"/>
      <c r="E19" s="339">
        <f>ROUND(175*Belarus*(1-B30),2)</f>
        <v>175</v>
      </c>
      <c r="G19" s="2009"/>
      <c r="H19" s="2008"/>
      <c r="I19" s="163" t="s">
        <v>3585</v>
      </c>
      <c r="J19" s="1297"/>
      <c r="K19" s="339">
        <f>ROUND(56*Belarus*(1-B30),2)</f>
        <v>56</v>
      </c>
    </row>
    <row r="20" spans="1:11" ht="23.25" customHeight="1">
      <c r="A20" s="2011"/>
      <c r="B20" s="2013" t="s">
        <v>1541</v>
      </c>
      <c r="C20" s="2015" t="s">
        <v>1542</v>
      </c>
      <c r="D20" s="2015" t="s">
        <v>1543</v>
      </c>
      <c r="E20" s="2017">
        <f>ROUND(120*Belarus*(1-B30),2)</f>
        <v>120</v>
      </c>
      <c r="K20" s="46"/>
    </row>
    <row r="21" spans="1:11" ht="22.5" customHeight="1">
      <c r="A21" s="2012"/>
      <c r="B21" s="2014"/>
      <c r="C21" s="2016"/>
      <c r="D21" s="2016"/>
      <c r="E21" s="2018"/>
      <c r="G21" s="1491" t="s">
        <v>1522</v>
      </c>
      <c r="H21" s="1491"/>
      <c r="I21" s="1491"/>
      <c r="J21" s="1491"/>
      <c r="K21" s="1491"/>
    </row>
    <row r="22" spans="1:11" ht="20.25" customHeight="1">
      <c r="A22" s="340"/>
      <c r="B22" s="314" t="s">
        <v>1544</v>
      </c>
      <c r="C22" s="163" t="s">
        <v>3589</v>
      </c>
      <c r="D22" s="163" t="s">
        <v>640</v>
      </c>
      <c r="E22" s="339">
        <f>ROUND(15*Belarus*(1-B30),2)</f>
        <v>15</v>
      </c>
      <c r="G22" s="247" t="s">
        <v>1071</v>
      </c>
      <c r="H22" s="247" t="s">
        <v>307</v>
      </c>
      <c r="I22" s="247" t="s">
        <v>1523</v>
      </c>
      <c r="J22" s="1491" t="s">
        <v>624</v>
      </c>
      <c r="K22" s="1491"/>
    </row>
    <row r="23" spans="1:11" ht="28.5" customHeight="1">
      <c r="A23" s="340"/>
      <c r="B23" s="341" t="s">
        <v>6536</v>
      </c>
      <c r="C23" s="163" t="s">
        <v>369</v>
      </c>
      <c r="D23" s="163" t="s">
        <v>640</v>
      </c>
      <c r="E23" s="339">
        <f>ROUND(40*Belarus*(1-B30),2)</f>
        <v>40</v>
      </c>
      <c r="G23" s="165"/>
      <c r="H23" s="122" t="s">
        <v>1524</v>
      </c>
      <c r="I23" s="101" t="s">
        <v>845</v>
      </c>
      <c r="J23" s="2010">
        <f>ROUND(4220*Belarus*(1-C30),2)</f>
        <v>4220</v>
      </c>
      <c r="K23" s="2010"/>
    </row>
    <row r="24" spans="1:11" ht="27" customHeight="1">
      <c r="A24" s="340"/>
      <c r="B24" s="341" t="s">
        <v>6537</v>
      </c>
      <c r="C24" s="163" t="s">
        <v>369</v>
      </c>
      <c r="D24" s="163" t="s">
        <v>640</v>
      </c>
      <c r="E24" s="339">
        <f>ROUND(46*Belarus*(1-B30),2)</f>
        <v>46</v>
      </c>
      <c r="G24" s="165"/>
      <c r="H24" s="122" t="s">
        <v>6638</v>
      </c>
      <c r="I24" s="101" t="s">
        <v>845</v>
      </c>
      <c r="J24" s="2010">
        <f>ROUND(5980*Belarus*(1-C30),2)</f>
        <v>5980</v>
      </c>
      <c r="K24" s="2010"/>
    </row>
    <row r="25" spans="1:11" ht="34.5" customHeight="1">
      <c r="A25" s="1145"/>
      <c r="B25" s="1140"/>
      <c r="C25" s="167"/>
      <c r="D25" s="167"/>
      <c r="E25" s="1146"/>
      <c r="G25" s="165"/>
      <c r="H25" s="122" t="s">
        <v>779</v>
      </c>
      <c r="I25" s="101" t="s">
        <v>845</v>
      </c>
      <c r="J25" s="2019">
        <f>ROUND(360*Belarus*(1-D30),2)</f>
        <v>360</v>
      </c>
      <c r="K25" s="2019"/>
    </row>
    <row r="26" spans="1:11" ht="40.5" customHeight="1">
      <c r="A26" s="2020" t="s">
        <v>1127</v>
      </c>
      <c r="B26" s="2020"/>
      <c r="C26" s="2020"/>
      <c r="D26" s="2020"/>
      <c r="E26" s="2020"/>
      <c r="F26" s="334"/>
      <c r="G26" s="165"/>
      <c r="H26" s="122" t="s">
        <v>6637</v>
      </c>
      <c r="I26" s="101" t="s">
        <v>845</v>
      </c>
      <c r="J26" s="2010">
        <f>ROUND(325*Belarus*(1-D30),2)</f>
        <v>325</v>
      </c>
      <c r="K26" s="2010"/>
    </row>
    <row r="29" spans="1:11" ht="25.5" customHeight="1">
      <c r="A29" s="1888" t="s">
        <v>508</v>
      </c>
      <c r="B29" s="141" t="s">
        <v>1545</v>
      </c>
      <c r="C29" s="141" t="s">
        <v>152</v>
      </c>
      <c r="D29" s="1339" t="s">
        <v>211</v>
      </c>
      <c r="E29" s="1339"/>
      <c r="F29" s="1339" t="s">
        <v>6636</v>
      </c>
      <c r="G29" s="1339"/>
      <c r="K29" s="46"/>
    </row>
    <row r="30" spans="1:11">
      <c r="A30" s="1889"/>
      <c r="B30" s="129">
        <v>0</v>
      </c>
      <c r="C30" s="129">
        <v>0</v>
      </c>
      <c r="D30" s="1331">
        <v>0</v>
      </c>
      <c r="E30" s="1331"/>
      <c r="F30" s="1331">
        <v>0</v>
      </c>
      <c r="G30" s="1331"/>
      <c r="K30" s="46"/>
    </row>
    <row r="32" spans="1:11">
      <c r="E32" s="46"/>
    </row>
    <row r="33" spans="5:5">
      <c r="E33" s="46"/>
    </row>
  </sheetData>
  <sheetProtection selectLockedCells="1" selectUnlockedCells="1"/>
  <mergeCells count="72">
    <mergeCell ref="A29:A30"/>
    <mergeCell ref="D29:E29"/>
    <mergeCell ref="F29:G29"/>
    <mergeCell ref="D30:E30"/>
    <mergeCell ref="F30:G30"/>
    <mergeCell ref="J22:K22"/>
    <mergeCell ref="J23:K23"/>
    <mergeCell ref="J24:K24"/>
    <mergeCell ref="J25:K25"/>
    <mergeCell ref="A26:E26"/>
    <mergeCell ref="J26:K26"/>
    <mergeCell ref="A20:A21"/>
    <mergeCell ref="B20:B21"/>
    <mergeCell ref="C20:C21"/>
    <mergeCell ref="D20:D21"/>
    <mergeCell ref="E20:E21"/>
    <mergeCell ref="G21:K21"/>
    <mergeCell ref="A18:A19"/>
    <mergeCell ref="B18:B19"/>
    <mergeCell ref="D18:D19"/>
    <mergeCell ref="G18:G19"/>
    <mergeCell ref="H18:H19"/>
    <mergeCell ref="J18:J19"/>
    <mergeCell ref="A16:A17"/>
    <mergeCell ref="B16:B17"/>
    <mergeCell ref="D16:D17"/>
    <mergeCell ref="G16:G17"/>
    <mergeCell ref="H16:H17"/>
    <mergeCell ref="J16:J17"/>
    <mergeCell ref="A14:A15"/>
    <mergeCell ref="B14:B15"/>
    <mergeCell ref="D14:D15"/>
    <mergeCell ref="G14:G15"/>
    <mergeCell ref="H14:H15"/>
    <mergeCell ref="J14:J15"/>
    <mergeCell ref="A12:A13"/>
    <mergeCell ref="B12:B13"/>
    <mergeCell ref="D12:D13"/>
    <mergeCell ref="G12:G13"/>
    <mergeCell ref="H12:H13"/>
    <mergeCell ref="J12:J13"/>
    <mergeCell ref="A10:A11"/>
    <mergeCell ref="B10:B11"/>
    <mergeCell ref="D10:D11"/>
    <mergeCell ref="G10:G11"/>
    <mergeCell ref="H10:H11"/>
    <mergeCell ref="J10:J11"/>
    <mergeCell ref="A8:A9"/>
    <mergeCell ref="B8:B9"/>
    <mergeCell ref="D8:D9"/>
    <mergeCell ref="G8:G9"/>
    <mergeCell ref="H8:H9"/>
    <mergeCell ref="J8:J9"/>
    <mergeCell ref="I4:I5"/>
    <mergeCell ref="J4:J5"/>
    <mergeCell ref="K4:K5"/>
    <mergeCell ref="A6:A7"/>
    <mergeCell ref="B6:B7"/>
    <mergeCell ref="D6:D7"/>
    <mergeCell ref="G6:G7"/>
    <mergeCell ref="H6:H7"/>
    <mergeCell ref="J6:J7"/>
    <mergeCell ref="A1:D1"/>
    <mergeCell ref="A2:G2"/>
    <mergeCell ref="J2:K2"/>
    <mergeCell ref="A4:A5"/>
    <mergeCell ref="B4:B5"/>
    <mergeCell ref="C4:C5"/>
    <mergeCell ref="D4:D5"/>
    <mergeCell ref="E4:E5"/>
    <mergeCell ref="G4:G5"/>
    <mergeCell ref="H4:H5"/>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78"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17</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pageSetUpPr fitToPage="1"/>
  </sheetPr>
  <dimension ref="A1:O35"/>
  <sheetViews>
    <sheetView zoomScale="70" zoomScaleNormal="70" workbookViewId="0">
      <selection sqref="A1:D1"/>
    </sheetView>
  </sheetViews>
  <sheetFormatPr defaultRowHeight="12.75"/>
  <cols>
    <col min="1" max="1" width="35" style="15" customWidth="1"/>
    <col min="2" max="2" width="25.140625" style="15" customWidth="1"/>
    <col min="3" max="3" width="75" style="15" customWidth="1"/>
    <col min="4" max="4" width="25.140625" style="228" customWidth="1"/>
    <col min="5" max="5" width="7" style="228" customWidth="1"/>
    <col min="6" max="6" width="10" style="228" customWidth="1"/>
    <col min="7" max="7" width="10.42578125" style="228" customWidth="1"/>
    <col min="8" max="8" width="2.5703125" style="228" customWidth="1"/>
    <col min="9" max="9" width="24.42578125" style="228" customWidth="1"/>
    <col min="10" max="10" width="24.5703125" style="228" customWidth="1"/>
    <col min="11" max="11" width="65.140625" style="228" customWidth="1"/>
    <col min="12" max="12" width="36.42578125" style="228" customWidth="1"/>
    <col min="13" max="13" width="6.42578125" style="228" customWidth="1"/>
    <col min="14" max="14" width="9.5703125" style="228" customWidth="1"/>
    <col min="15" max="15" width="10.85546875" style="228" customWidth="1"/>
    <col min="16" max="16384" width="9.140625" style="228"/>
  </cols>
  <sheetData>
    <row r="1" spans="1:15" ht="20.25" customHeight="1">
      <c r="A1" s="1890" t="s">
        <v>312</v>
      </c>
      <c r="B1" s="1890"/>
      <c r="C1" s="1890"/>
      <c r="D1" s="1890"/>
    </row>
    <row r="2" spans="1:15" ht="20.25" customHeight="1" thickBot="1">
      <c r="A2" s="1507" t="s">
        <v>1546</v>
      </c>
      <c r="B2" s="1507"/>
      <c r="C2" s="1507"/>
      <c r="D2" s="1507"/>
      <c r="E2" s="1507"/>
      <c r="F2" s="1507"/>
      <c r="G2" s="1507"/>
      <c r="H2" s="1507"/>
      <c r="I2" s="1507"/>
      <c r="J2" s="1507"/>
      <c r="K2" s="1507"/>
      <c r="L2" s="749"/>
      <c r="M2" s="748" t="s">
        <v>313</v>
      </c>
      <c r="N2" s="2021">
        <v>43301</v>
      </c>
      <c r="O2" s="2022"/>
    </row>
    <row r="3" spans="1:15">
      <c r="M3" s="343" t="s">
        <v>804</v>
      </c>
      <c r="N3" s="1668">
        <v>43301</v>
      </c>
      <c r="O3" s="1668"/>
    </row>
    <row r="4" spans="1:15">
      <c r="A4" s="1566" t="s">
        <v>1547</v>
      </c>
      <c r="B4" s="1566" t="s">
        <v>307</v>
      </c>
      <c r="C4" s="1535" t="s">
        <v>1548</v>
      </c>
      <c r="D4" s="1536"/>
      <c r="E4" s="2023" t="s">
        <v>6860</v>
      </c>
      <c r="F4" s="2025" t="s">
        <v>6861</v>
      </c>
      <c r="G4" s="2026"/>
      <c r="I4" s="1566" t="s">
        <v>1547</v>
      </c>
      <c r="J4" s="2027" t="s">
        <v>307</v>
      </c>
      <c r="K4" s="2029" t="s">
        <v>1548</v>
      </c>
      <c r="L4" s="2030"/>
      <c r="M4" s="2033" t="s">
        <v>6860</v>
      </c>
      <c r="N4" s="2025" t="s">
        <v>6861</v>
      </c>
      <c r="O4" s="2026"/>
    </row>
    <row r="5" spans="1:15" ht="25.5">
      <c r="A5" s="1567"/>
      <c r="B5" s="1567"/>
      <c r="C5" s="1568"/>
      <c r="D5" s="1569"/>
      <c r="E5" s="2024"/>
      <c r="F5" s="344" t="s">
        <v>6862</v>
      </c>
      <c r="G5" s="344" t="s">
        <v>6863</v>
      </c>
      <c r="I5" s="1567"/>
      <c r="J5" s="2028"/>
      <c r="K5" s="2031"/>
      <c r="L5" s="2032"/>
      <c r="M5" s="2034"/>
      <c r="N5" s="344" t="s">
        <v>6862</v>
      </c>
      <c r="O5" s="344" t="s">
        <v>6863</v>
      </c>
    </row>
    <row r="6" spans="1:15" ht="54.75" customHeight="1">
      <c r="A6" s="237"/>
      <c r="B6" s="1214" t="s">
        <v>6864</v>
      </c>
      <c r="C6" s="1172" t="s">
        <v>6865</v>
      </c>
      <c r="D6" s="1215" t="s">
        <v>6866</v>
      </c>
      <c r="E6" s="136">
        <v>7.89</v>
      </c>
      <c r="F6" s="348">
        <f>ROUND(2400*Belarus*(1-B35),2)</f>
        <v>2400</v>
      </c>
      <c r="G6" s="348" t="s">
        <v>369</v>
      </c>
      <c r="I6" s="1931"/>
      <c r="J6" s="2035" t="s">
        <v>6867</v>
      </c>
      <c r="K6" s="2037" t="s">
        <v>1554</v>
      </c>
      <c r="L6" s="2039" t="s">
        <v>1555</v>
      </c>
      <c r="M6" s="1900">
        <v>20.399999999999999</v>
      </c>
      <c r="N6" s="2041">
        <f>ROUND(18889*Belarus*(1-B35),2)</f>
        <v>18889</v>
      </c>
      <c r="O6" s="2042"/>
    </row>
    <row r="7" spans="1:15" ht="56.25" customHeight="1">
      <c r="A7" s="237"/>
      <c r="B7" s="345" t="s">
        <v>6868</v>
      </c>
      <c r="C7" s="346" t="s">
        <v>1552</v>
      </c>
      <c r="D7" s="698" t="s">
        <v>1553</v>
      </c>
      <c r="E7" s="136">
        <v>9.0299999999999994</v>
      </c>
      <c r="F7" s="348">
        <f>ROUND(2328*Belarus*(1-B35),2)</f>
        <v>2328</v>
      </c>
      <c r="G7" s="348">
        <f>ROUND(2561*Belarus*(1-B35),2)</f>
        <v>2561</v>
      </c>
      <c r="I7" s="1932"/>
      <c r="J7" s="2036"/>
      <c r="K7" s="2038"/>
      <c r="L7" s="2040"/>
      <c r="M7" s="1901"/>
      <c r="N7" s="2043"/>
      <c r="O7" s="2044"/>
    </row>
    <row r="8" spans="1:15" ht="66.75" customHeight="1">
      <c r="A8" s="237"/>
      <c r="B8" s="351" t="s">
        <v>6869</v>
      </c>
      <c r="C8" s="346" t="s">
        <v>1556</v>
      </c>
      <c r="D8" s="698" t="s">
        <v>1557</v>
      </c>
      <c r="E8" s="44">
        <v>9.6300000000000008</v>
      </c>
      <c r="F8" s="348">
        <f>ROUND(3124*Belarus*(1-B35),2)</f>
        <v>3124</v>
      </c>
      <c r="G8" s="348">
        <f>ROUND(3437*Belarus*(1-B35),2)</f>
        <v>3437</v>
      </c>
      <c r="I8" s="1932"/>
      <c r="J8" s="351" t="s">
        <v>1558</v>
      </c>
      <c r="K8" s="346" t="s">
        <v>1559</v>
      </c>
      <c r="L8" s="698" t="s">
        <v>1560</v>
      </c>
      <c r="M8" s="44">
        <v>8.67</v>
      </c>
      <c r="N8" s="1752">
        <f>ROUND(9802*Belarus*(1-B35),2)</f>
        <v>9802</v>
      </c>
      <c r="O8" s="1752"/>
    </row>
    <row r="9" spans="1:15" ht="55.5" customHeight="1">
      <c r="A9" s="237"/>
      <c r="B9" s="351" t="s">
        <v>6870</v>
      </c>
      <c r="C9" s="346" t="s">
        <v>1561</v>
      </c>
      <c r="D9" s="698" t="s">
        <v>1553</v>
      </c>
      <c r="E9" s="44">
        <v>3.54</v>
      </c>
      <c r="F9" s="352">
        <f>ROUND(987*Belarus*(1-B35),2)</f>
        <v>987</v>
      </c>
      <c r="G9" s="352">
        <f>ROUND(1086*Belarus*(1-B35),2)</f>
        <v>1086</v>
      </c>
      <c r="I9" s="1932"/>
      <c r="J9" s="351" t="s">
        <v>1562</v>
      </c>
      <c r="K9" s="2008" t="s">
        <v>1563</v>
      </c>
      <c r="L9" s="2008"/>
      <c r="M9" s="44">
        <v>2.1</v>
      </c>
      <c r="N9" s="1752">
        <f>ROUND(1663*Belarus*(1-B35),2)</f>
        <v>1663</v>
      </c>
      <c r="O9" s="1752"/>
    </row>
    <row r="10" spans="1:15" ht="57" customHeight="1">
      <c r="A10" s="237"/>
      <c r="B10" s="351" t="s">
        <v>6871</v>
      </c>
      <c r="C10" s="346" t="s">
        <v>1564</v>
      </c>
      <c r="D10" s="698" t="s">
        <v>1565</v>
      </c>
      <c r="E10" s="44">
        <v>3.84</v>
      </c>
      <c r="F10" s="352">
        <f>ROUND(1480*Belarus*(1-B35),2)</f>
        <v>1480</v>
      </c>
      <c r="G10" s="352">
        <f>ROUND(1628*Belarus*(1-B35),2)</f>
        <v>1628</v>
      </c>
      <c r="I10" s="1932"/>
      <c r="J10" s="351" t="s">
        <v>1566</v>
      </c>
      <c r="K10" s="346" t="s">
        <v>1567</v>
      </c>
      <c r="L10" s="698" t="s">
        <v>1568</v>
      </c>
      <c r="M10" s="44">
        <v>1.64</v>
      </c>
      <c r="N10" s="1752">
        <f>ROUND(1462*Belarus*(1-B35),2)</f>
        <v>1462</v>
      </c>
      <c r="O10" s="1752"/>
    </row>
    <row r="11" spans="1:15" ht="48" customHeight="1">
      <c r="A11" s="349"/>
      <c r="B11" s="351" t="s">
        <v>1569</v>
      </c>
      <c r="C11" s="2008" t="s">
        <v>1570</v>
      </c>
      <c r="D11" s="2008"/>
      <c r="E11" s="44">
        <v>0.81</v>
      </c>
      <c r="F11" s="352">
        <f>ROUND(292*Belarus*(1-B35),2)</f>
        <v>292</v>
      </c>
      <c r="G11" s="352">
        <f>ROUND(321*Belarus*(1-B35),2)</f>
        <v>321</v>
      </c>
      <c r="I11" s="1932"/>
      <c r="J11" s="351" t="s">
        <v>1571</v>
      </c>
      <c r="K11" s="346" t="s">
        <v>1572</v>
      </c>
      <c r="L11" s="698" t="s">
        <v>1573</v>
      </c>
      <c r="M11" s="44">
        <v>0.19</v>
      </c>
      <c r="N11" s="1752">
        <f>ROUND(311*Belarus*(1-B35),2)</f>
        <v>311</v>
      </c>
      <c r="O11" s="1752"/>
    </row>
    <row r="12" spans="1:15" ht="53.25" customHeight="1">
      <c r="A12" s="349"/>
      <c r="B12" s="351" t="s">
        <v>1574</v>
      </c>
      <c r="C12" s="346" t="s">
        <v>1575</v>
      </c>
      <c r="D12" s="698" t="s">
        <v>1576</v>
      </c>
      <c r="E12" s="44">
        <v>0.96</v>
      </c>
      <c r="F12" s="352">
        <f>ROUND(670*Belarus*(1-B35),2)</f>
        <v>670</v>
      </c>
      <c r="G12" s="352">
        <f>ROUND(737*Belarus*(1-B35),2)</f>
        <v>737</v>
      </c>
      <c r="I12" s="1932"/>
      <c r="J12" s="351" t="s">
        <v>1577</v>
      </c>
      <c r="K12" s="346" t="s">
        <v>1578</v>
      </c>
      <c r="L12" s="698" t="s">
        <v>1579</v>
      </c>
      <c r="M12" s="44">
        <v>0.11</v>
      </c>
      <c r="N12" s="1752">
        <f>ROUND(190*Belarus*(1-B35),2)</f>
        <v>190</v>
      </c>
      <c r="O12" s="1752"/>
    </row>
    <row r="13" spans="1:15" ht="52.5" customHeight="1">
      <c r="A13" s="353"/>
      <c r="B13" s="351" t="s">
        <v>1580</v>
      </c>
      <c r="C13" s="346" t="s">
        <v>1581</v>
      </c>
      <c r="D13" s="698" t="s">
        <v>1582</v>
      </c>
      <c r="E13" s="44">
        <v>0.15</v>
      </c>
      <c r="F13" s="352">
        <f>ROUND(429*Belarus*(1-B35),2)</f>
        <v>429</v>
      </c>
      <c r="G13" s="352">
        <f>ROUND(472*Belarus*(1-B35),2)</f>
        <v>472</v>
      </c>
      <c r="I13" s="1933"/>
      <c r="J13" s="351" t="s">
        <v>1583</v>
      </c>
      <c r="K13" s="346" t="s">
        <v>1584</v>
      </c>
      <c r="L13" s="698" t="s">
        <v>1585</v>
      </c>
      <c r="M13" s="44">
        <v>0.15</v>
      </c>
      <c r="N13" s="1752">
        <f>ROUND(220*Belarus*(1-B35),2)</f>
        <v>220</v>
      </c>
      <c r="O13" s="1752"/>
    </row>
    <row r="14" spans="1:15" ht="52.5" customHeight="1">
      <c r="A14" s="2046"/>
      <c r="B14" s="351" t="s">
        <v>6872</v>
      </c>
      <c r="C14" s="346" t="s">
        <v>1637</v>
      </c>
      <c r="D14" s="347"/>
      <c r="E14" s="44" t="s">
        <v>1190</v>
      </c>
      <c r="F14" s="352">
        <f>ROUND(3600*Belarus*(1-B35),2)</f>
        <v>3600</v>
      </c>
      <c r="G14" s="352" t="s">
        <v>1190</v>
      </c>
      <c r="I14" s="349"/>
      <c r="J14" s="2048" t="s">
        <v>6873</v>
      </c>
      <c r="K14" s="2037" t="s">
        <v>6874</v>
      </c>
      <c r="L14" s="2051" t="s">
        <v>6875</v>
      </c>
      <c r="M14" s="1716">
        <v>12.71</v>
      </c>
      <c r="N14" s="2053">
        <f>ROUND(4514*Belarus*(1-B35),2)</f>
        <v>4514</v>
      </c>
      <c r="O14" s="2053">
        <f>ROUND(4966*Belarus*(1-B35),2)</f>
        <v>4966</v>
      </c>
    </row>
    <row r="15" spans="1:15" ht="57" customHeight="1">
      <c r="A15" s="2047"/>
      <c r="B15" s="351" t="s">
        <v>6876</v>
      </c>
      <c r="C15" s="346" t="s">
        <v>1644</v>
      </c>
      <c r="D15" s="347"/>
      <c r="E15" s="44" t="s">
        <v>1190</v>
      </c>
      <c r="F15" s="352">
        <f>ROUND(2000*Belarus*(1-B35),2)</f>
        <v>2000</v>
      </c>
      <c r="G15" s="352" t="s">
        <v>1190</v>
      </c>
      <c r="I15" s="349"/>
      <c r="J15" s="2049"/>
      <c r="K15" s="2050"/>
      <c r="L15" s="2052"/>
      <c r="M15" s="1900"/>
      <c r="N15" s="2054"/>
      <c r="O15" s="2054"/>
    </row>
    <row r="16" spans="1:15" ht="32.25" customHeight="1">
      <c r="A16" s="103"/>
      <c r="B16" s="351" t="s">
        <v>1586</v>
      </c>
      <c r="C16" s="2008" t="s">
        <v>1587</v>
      </c>
      <c r="D16" s="2008"/>
      <c r="E16" s="44" t="s">
        <v>369</v>
      </c>
      <c r="F16" s="2055">
        <f>16*Belarus</f>
        <v>16</v>
      </c>
      <c r="G16" s="2055"/>
      <c r="H16" s="355"/>
      <c r="I16" s="2048"/>
      <c r="J16" s="2048" t="s">
        <v>6877</v>
      </c>
      <c r="K16" s="2058" t="s">
        <v>6878</v>
      </c>
      <c r="L16" s="2045" t="s">
        <v>6879</v>
      </c>
      <c r="M16" s="1716">
        <v>18.53</v>
      </c>
      <c r="N16" s="2053">
        <f>ROUND(5607*Belarus*(1-B35),2)</f>
        <v>5607</v>
      </c>
      <c r="O16" s="2053">
        <f>ROUND(6168*Belarus*(1-B35),2)</f>
        <v>6168</v>
      </c>
    </row>
    <row r="17" spans="1:15" ht="29.25" customHeight="1">
      <c r="A17" s="103"/>
      <c r="B17" s="351" t="s">
        <v>1588</v>
      </c>
      <c r="C17" s="2008" t="s">
        <v>1589</v>
      </c>
      <c r="D17" s="2008"/>
      <c r="E17" s="44" t="s">
        <v>369</v>
      </c>
      <c r="F17" s="2055">
        <f>10*Belarus</f>
        <v>10</v>
      </c>
      <c r="G17" s="2055"/>
      <c r="H17" s="355"/>
      <c r="I17" s="2048"/>
      <c r="J17" s="2048"/>
      <c r="K17" s="2058"/>
      <c r="L17" s="2045"/>
      <c r="M17" s="1716"/>
      <c r="N17" s="2053"/>
      <c r="O17" s="2053"/>
    </row>
    <row r="18" spans="1:15" ht="55.5" customHeight="1">
      <c r="A18" s="2056"/>
      <c r="B18" s="351" t="s">
        <v>6880</v>
      </c>
      <c r="C18" s="346" t="s">
        <v>6881</v>
      </c>
      <c r="D18" s="698" t="s">
        <v>1590</v>
      </c>
      <c r="E18" s="44">
        <v>23.55</v>
      </c>
      <c r="F18" s="1752">
        <f>ROUND(8672*Belarus*(1-B35),2)</f>
        <v>8672</v>
      </c>
      <c r="G18" s="1752"/>
      <c r="I18" s="2048"/>
      <c r="J18" s="2048"/>
      <c r="K18" s="2058"/>
      <c r="L18" s="2045"/>
      <c r="M18" s="1716"/>
      <c r="N18" s="2053"/>
      <c r="O18" s="2053"/>
    </row>
    <row r="19" spans="1:15" ht="82.5" customHeight="1">
      <c r="A19" s="2056"/>
      <c r="B19" s="351" t="s">
        <v>6882</v>
      </c>
      <c r="C19" s="346" t="s">
        <v>6883</v>
      </c>
      <c r="D19" s="698" t="s">
        <v>1591</v>
      </c>
      <c r="E19" s="44">
        <v>9.43</v>
      </c>
      <c r="F19" s="1752">
        <f>ROUND(4633*Belarus*(1-B35),2)</f>
        <v>4633</v>
      </c>
      <c r="G19" s="1752"/>
      <c r="I19" s="2057"/>
      <c r="J19" s="357" t="s">
        <v>6884</v>
      </c>
      <c r="K19" s="358" t="s">
        <v>6885</v>
      </c>
      <c r="L19" s="1216" t="s">
        <v>6886</v>
      </c>
      <c r="M19" s="359">
        <v>14.51</v>
      </c>
      <c r="N19" s="360">
        <f>ROUND(7366*Belarus*(1-B35),2)</f>
        <v>7366</v>
      </c>
      <c r="O19" s="360">
        <f>ROUND(8102*Belarus*(1-B35),2)</f>
        <v>8102</v>
      </c>
    </row>
    <row r="20" spans="1:15" ht="87" customHeight="1">
      <c r="A20" s="2056"/>
      <c r="B20" s="351" t="s">
        <v>6887</v>
      </c>
      <c r="C20" s="346" t="s">
        <v>1592</v>
      </c>
      <c r="D20" s="698" t="s">
        <v>1593</v>
      </c>
      <c r="E20" s="44">
        <v>24.86</v>
      </c>
      <c r="F20" s="1752">
        <f>ROUND(11025*Belarus*(1-B35),2)</f>
        <v>11025</v>
      </c>
      <c r="G20" s="1752"/>
      <c r="I20" s="2057"/>
      <c r="J20" s="361" t="s">
        <v>6888</v>
      </c>
      <c r="K20" s="356" t="s">
        <v>6889</v>
      </c>
      <c r="L20" s="1217" t="s">
        <v>6890</v>
      </c>
      <c r="M20" s="362">
        <v>20.329999999999998</v>
      </c>
      <c r="N20" s="363">
        <f>ROUND(8459*Belarus*(1-B35),2)</f>
        <v>8459</v>
      </c>
      <c r="O20" s="363">
        <f>ROUND(9304*Belarus*(1-B35),2)</f>
        <v>9304</v>
      </c>
    </row>
    <row r="21" spans="1:15" ht="81.75" customHeight="1">
      <c r="A21" s="2056"/>
      <c r="B21" s="351" t="s">
        <v>6891</v>
      </c>
      <c r="C21" s="346" t="s">
        <v>1594</v>
      </c>
      <c r="D21" s="698" t="s">
        <v>1595</v>
      </c>
      <c r="E21" s="44">
        <v>10.31</v>
      </c>
      <c r="F21" s="1752">
        <f>ROUND(6059*Belarus*(1-B35),2)</f>
        <v>6059</v>
      </c>
      <c r="G21" s="1752"/>
      <c r="I21" s="2059"/>
      <c r="J21" s="364" t="s">
        <v>6892</v>
      </c>
      <c r="K21" s="365" t="s">
        <v>6893</v>
      </c>
      <c r="L21" s="1218" t="s">
        <v>1596</v>
      </c>
      <c r="M21" s="366">
        <v>16.420000000000002</v>
      </c>
      <c r="N21" s="367">
        <f>ROUND(5227*Belarus*(1-B35),2)</f>
        <v>5227</v>
      </c>
      <c r="O21" s="367">
        <f>ROUND(5750*Belarus*(1-B35),2)</f>
        <v>5750</v>
      </c>
    </row>
    <row r="22" spans="1:15" ht="45" customHeight="1">
      <c r="A22" s="2056"/>
      <c r="B22" s="351" t="s">
        <v>6894</v>
      </c>
      <c r="C22" s="2058" t="s">
        <v>1597</v>
      </c>
      <c r="D22" s="2045"/>
      <c r="E22" s="44">
        <v>18.77</v>
      </c>
      <c r="F22" s="1752">
        <f>ROUND(6996*Belarus*(1-B35),2)</f>
        <v>6996</v>
      </c>
      <c r="G22" s="1752"/>
      <c r="I22" s="2060"/>
      <c r="J22" s="2062" t="s">
        <v>6895</v>
      </c>
      <c r="K22" s="2037" t="s">
        <v>6896</v>
      </c>
      <c r="L22" s="2039" t="s">
        <v>1598</v>
      </c>
      <c r="M22" s="1716">
        <v>22.24</v>
      </c>
      <c r="N22" s="2053">
        <f>ROUND(6320*Belarus*(1-B35),2)</f>
        <v>6320</v>
      </c>
      <c r="O22" s="2053">
        <f>ROUND(6952*Belarus*(1-B35),2)</f>
        <v>6952</v>
      </c>
    </row>
    <row r="23" spans="1:15" ht="36.75" customHeight="1">
      <c r="A23" s="2056"/>
      <c r="B23" s="351" t="s">
        <v>6897</v>
      </c>
      <c r="C23" s="2058" t="s">
        <v>1599</v>
      </c>
      <c r="D23" s="2045"/>
      <c r="E23" s="44">
        <v>6.25</v>
      </c>
      <c r="F23" s="1752">
        <f>ROUND(3516*Belarus*(1-B35),2)</f>
        <v>3516</v>
      </c>
      <c r="G23" s="1752"/>
      <c r="I23" s="2061"/>
      <c r="J23" s="2063"/>
      <c r="K23" s="2038"/>
      <c r="L23" s="2040"/>
      <c r="M23" s="1716"/>
      <c r="N23" s="2053"/>
      <c r="O23" s="2053"/>
    </row>
    <row r="24" spans="1:15" ht="87" customHeight="1">
      <c r="A24" s="349"/>
      <c r="B24" s="351" t="s">
        <v>1600</v>
      </c>
      <c r="C24" s="346" t="s">
        <v>1601</v>
      </c>
      <c r="D24" s="698" t="s">
        <v>1602</v>
      </c>
      <c r="E24" s="44">
        <v>5.3</v>
      </c>
      <c r="F24" s="1752">
        <f>ROUND(559*Belarus*(1-B35),2)</f>
        <v>559</v>
      </c>
      <c r="G24" s="1752"/>
      <c r="I24" s="2064"/>
      <c r="J24" s="361" t="s">
        <v>6898</v>
      </c>
      <c r="K24" s="356" t="s">
        <v>6899</v>
      </c>
      <c r="L24" s="292" t="s">
        <v>1603</v>
      </c>
      <c r="M24" s="366">
        <v>18.22</v>
      </c>
      <c r="N24" s="367">
        <f>ROUND(8078*Belarus*(1-B35),2)</f>
        <v>8078</v>
      </c>
      <c r="O24" s="367">
        <f>ROUND(8886*Belarus*(1-B35),2)</f>
        <v>8886</v>
      </c>
    </row>
    <row r="25" spans="1:15" ht="83.25" customHeight="1">
      <c r="A25" s="349"/>
      <c r="B25" s="351" t="s">
        <v>1604</v>
      </c>
      <c r="C25" s="346" t="s">
        <v>1605</v>
      </c>
      <c r="D25" s="698" t="s">
        <v>1606</v>
      </c>
      <c r="E25" s="44">
        <v>5.75</v>
      </c>
      <c r="F25" s="1752">
        <f>ROUND(1272*Belarus*(1-B35),2)</f>
        <v>1272</v>
      </c>
      <c r="G25" s="1752"/>
      <c r="I25" s="2065"/>
      <c r="J25" s="368" t="s">
        <v>6900</v>
      </c>
      <c r="K25" s="365" t="s">
        <v>6901</v>
      </c>
      <c r="L25" s="369" t="s">
        <v>1607</v>
      </c>
      <c r="M25" s="366">
        <v>24.04</v>
      </c>
      <c r="N25" s="367">
        <f>ROUND(9171*Belarus*(1-B35),2)</f>
        <v>9171</v>
      </c>
      <c r="O25" s="367">
        <f>ROUND(10088*Belarus*(1-B35),2)</f>
        <v>10088</v>
      </c>
    </row>
    <row r="26" spans="1:15" ht="56.25" customHeight="1">
      <c r="A26" s="2056"/>
      <c r="B26" s="350" t="s">
        <v>6902</v>
      </c>
      <c r="C26" s="346" t="s">
        <v>1608</v>
      </c>
      <c r="D26" s="698" t="s">
        <v>1609</v>
      </c>
      <c r="E26" s="44">
        <v>10.3</v>
      </c>
      <c r="F26" s="1752">
        <f>ROUND(14494*Belarus*(1-B35),2)</f>
        <v>14494</v>
      </c>
      <c r="G26" s="1752"/>
      <c r="I26" s="2066" t="s">
        <v>6903</v>
      </c>
      <c r="J26" s="2067"/>
      <c r="K26" s="2067"/>
      <c r="L26" s="2067"/>
      <c r="M26" s="2067"/>
      <c r="N26" s="2067"/>
      <c r="O26" s="2068"/>
    </row>
    <row r="27" spans="1:15" ht="44.25" customHeight="1">
      <c r="A27" s="2056"/>
      <c r="B27" s="350" t="s">
        <v>1558</v>
      </c>
      <c r="C27" s="346" t="s">
        <v>1610</v>
      </c>
      <c r="D27" s="698" t="s">
        <v>1611</v>
      </c>
      <c r="E27" s="44">
        <v>8.67</v>
      </c>
      <c r="F27" s="1752">
        <f>ROUND(9802*Belarus*(1-B35),2)</f>
        <v>9802</v>
      </c>
      <c r="G27" s="1752"/>
      <c r="I27" s="2069"/>
      <c r="J27" s="2070"/>
      <c r="K27" s="2070"/>
      <c r="L27" s="2070"/>
      <c r="M27" s="2070"/>
      <c r="N27" s="2070"/>
      <c r="O27" s="2071"/>
    </row>
    <row r="28" spans="1:15" ht="44.25" customHeight="1">
      <c r="A28" s="2056"/>
      <c r="B28" s="350" t="s">
        <v>6904</v>
      </c>
      <c r="C28" s="1332" t="s">
        <v>1612</v>
      </c>
      <c r="D28" s="1332"/>
      <c r="E28" s="44">
        <v>0.1</v>
      </c>
      <c r="F28" s="1752">
        <f>ROUND(536*Belarus*(1-B35),2)</f>
        <v>536</v>
      </c>
      <c r="G28" s="1752"/>
      <c r="I28" s="2069"/>
      <c r="J28" s="2070"/>
      <c r="K28" s="2070"/>
      <c r="L28" s="2070"/>
      <c r="M28" s="2070"/>
      <c r="N28" s="2070"/>
      <c r="O28" s="2071"/>
    </row>
    <row r="29" spans="1:15" ht="53.25" customHeight="1">
      <c r="A29" s="2056"/>
      <c r="B29" s="350" t="s">
        <v>1613</v>
      </c>
      <c r="C29" s="346" t="s">
        <v>1614</v>
      </c>
      <c r="D29" s="698" t="s">
        <v>1615</v>
      </c>
      <c r="E29" s="44">
        <v>0.3</v>
      </c>
      <c r="F29" s="1752">
        <f>ROUND(240*Belarus*(1-B35),2)</f>
        <v>240</v>
      </c>
      <c r="G29" s="1752"/>
      <c r="I29" s="2069"/>
      <c r="J29" s="2070"/>
      <c r="K29" s="2070"/>
      <c r="L29" s="2070"/>
      <c r="M29" s="2070"/>
      <c r="N29" s="2070"/>
      <c r="O29" s="2071"/>
    </row>
    <row r="30" spans="1:15" ht="59.25" customHeight="1">
      <c r="A30" s="2056"/>
      <c r="B30" s="350" t="s">
        <v>6905</v>
      </c>
      <c r="C30" s="346" t="s">
        <v>1616</v>
      </c>
      <c r="D30" s="698" t="s">
        <v>1617</v>
      </c>
      <c r="E30" s="44">
        <v>0.55000000000000004</v>
      </c>
      <c r="F30" s="1752">
        <f>ROUND(892*Belarus*(1-B35),2)</f>
        <v>892</v>
      </c>
      <c r="G30" s="1752"/>
      <c r="I30" s="2072"/>
      <c r="J30" s="2073"/>
      <c r="K30" s="2073"/>
      <c r="L30" s="2073"/>
      <c r="M30" s="2073"/>
      <c r="N30" s="2073"/>
      <c r="O30" s="2074"/>
    </row>
    <row r="31" spans="1:15" ht="18" customHeight="1"/>
    <row r="33" spans="1:3" ht="12.75" customHeight="1"/>
    <row r="34" spans="1:3">
      <c r="A34" s="1595" t="s">
        <v>508</v>
      </c>
      <c r="B34" s="1339" t="s">
        <v>1618</v>
      </c>
      <c r="C34" s="1339"/>
    </row>
    <row r="35" spans="1:3">
      <c r="A35" s="1595"/>
      <c r="B35" s="1331">
        <v>0</v>
      </c>
      <c r="C35" s="1331"/>
    </row>
  </sheetData>
  <sheetProtection selectLockedCells="1" selectUnlockedCells="1"/>
  <mergeCells count="79">
    <mergeCell ref="F30:G30"/>
    <mergeCell ref="A34:A35"/>
    <mergeCell ref="B34:C34"/>
    <mergeCell ref="B35:C35"/>
    <mergeCell ref="F24:G24"/>
    <mergeCell ref="I24:I25"/>
    <mergeCell ref="F25:G25"/>
    <mergeCell ref="A26:A30"/>
    <mergeCell ref="F26:G26"/>
    <mergeCell ref="I26:O30"/>
    <mergeCell ref="F27:G27"/>
    <mergeCell ref="C28:D28"/>
    <mergeCell ref="F28:G28"/>
    <mergeCell ref="F29:G29"/>
    <mergeCell ref="J22:J23"/>
    <mergeCell ref="K22:K23"/>
    <mergeCell ref="L22:L23"/>
    <mergeCell ref="M22:M23"/>
    <mergeCell ref="N22:N23"/>
    <mergeCell ref="O22:O23"/>
    <mergeCell ref="F20:G20"/>
    <mergeCell ref="F21:G21"/>
    <mergeCell ref="I21:I23"/>
    <mergeCell ref="A22:A23"/>
    <mergeCell ref="C22:D22"/>
    <mergeCell ref="F22:G22"/>
    <mergeCell ref="C23:D23"/>
    <mergeCell ref="F23:G23"/>
    <mergeCell ref="M16:M18"/>
    <mergeCell ref="F16:G16"/>
    <mergeCell ref="I16:I18"/>
    <mergeCell ref="J16:J18"/>
    <mergeCell ref="K16:K18"/>
    <mergeCell ref="N16:N18"/>
    <mergeCell ref="O16:O18"/>
    <mergeCell ref="C17:D17"/>
    <mergeCell ref="F17:G17"/>
    <mergeCell ref="A18:A19"/>
    <mergeCell ref="F18:G18"/>
    <mergeCell ref="F19:G19"/>
    <mergeCell ref="I19:I20"/>
    <mergeCell ref="A20:A21"/>
    <mergeCell ref="C16:D16"/>
    <mergeCell ref="L16:L18"/>
    <mergeCell ref="N12:O12"/>
    <mergeCell ref="N13:O13"/>
    <mergeCell ref="A14:A15"/>
    <mergeCell ref="J14:J15"/>
    <mergeCell ref="K14:K15"/>
    <mergeCell ref="L14:L15"/>
    <mergeCell ref="M14:M15"/>
    <mergeCell ref="N14:N15"/>
    <mergeCell ref="O14:O15"/>
    <mergeCell ref="N8:O8"/>
    <mergeCell ref="K9:L9"/>
    <mergeCell ref="N9:O9"/>
    <mergeCell ref="N10:O10"/>
    <mergeCell ref="C11:D11"/>
    <mergeCell ref="N11:O11"/>
    <mergeCell ref="J4:J5"/>
    <mergeCell ref="K4:L5"/>
    <mergeCell ref="M4:M5"/>
    <mergeCell ref="N4:O4"/>
    <mergeCell ref="I6:I13"/>
    <mergeCell ref="J6:J7"/>
    <mergeCell ref="K6:K7"/>
    <mergeCell ref="L6:L7"/>
    <mergeCell ref="M6:M7"/>
    <mergeCell ref="N6:O7"/>
    <mergeCell ref="A1:D1"/>
    <mergeCell ref="A2:K2"/>
    <mergeCell ref="N2:O2"/>
    <mergeCell ref="N3:O3"/>
    <mergeCell ref="A4:A5"/>
    <mergeCell ref="B4:B5"/>
    <mergeCell ref="C4:D5"/>
    <mergeCell ref="E4:E5"/>
    <mergeCell ref="F4:G4"/>
    <mergeCell ref="I4:I5"/>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36"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18</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Q39"/>
  <sheetViews>
    <sheetView zoomScale="70" zoomScaleNormal="70" workbookViewId="0">
      <selection sqref="A1:D1"/>
    </sheetView>
  </sheetViews>
  <sheetFormatPr defaultRowHeight="12.75"/>
  <cols>
    <col min="1" max="1" width="20" style="1" customWidth="1"/>
    <col min="2" max="2" width="13.28515625" style="1" customWidth="1"/>
    <col min="3" max="3" width="17.5703125" style="1" customWidth="1"/>
    <col min="4" max="4" width="46.5703125" style="1" customWidth="1"/>
    <col min="5" max="5" width="30.28515625" style="1" customWidth="1"/>
    <col min="6" max="6" width="7.140625" style="1" customWidth="1"/>
    <col min="7" max="8" width="9.42578125" style="1" customWidth="1"/>
    <col min="9" max="9" width="2.28515625" style="1" customWidth="1"/>
    <col min="10" max="10" width="19.28515625" style="1" customWidth="1"/>
    <col min="11" max="12" width="15.7109375" style="1" customWidth="1"/>
    <col min="13" max="13" width="42.5703125" style="1" customWidth="1"/>
    <col min="14" max="14" width="30.42578125" style="1" customWidth="1"/>
    <col min="15" max="15" width="7.140625" style="1" customWidth="1"/>
    <col min="16" max="16" width="9.42578125" style="1" customWidth="1"/>
    <col min="17" max="17" width="8" style="1" customWidth="1"/>
    <col min="18" max="16384" width="9.140625" style="1"/>
  </cols>
  <sheetData>
    <row r="1" spans="1:17" s="228" customFormat="1" ht="12.75" customHeight="1">
      <c r="A1" s="1666" t="s">
        <v>312</v>
      </c>
      <c r="B1" s="1666"/>
      <c r="C1" s="1666"/>
      <c r="D1" s="1666"/>
      <c r="E1" s="151"/>
      <c r="F1" s="151"/>
      <c r="G1" s="15"/>
    </row>
    <row r="2" spans="1:17" ht="18.75" customHeight="1" thickBot="1">
      <c r="A2" s="1507" t="s">
        <v>126</v>
      </c>
      <c r="B2" s="1507"/>
      <c r="C2" s="1507"/>
      <c r="D2" s="1507"/>
      <c r="E2" s="1507"/>
      <c r="F2" s="1507"/>
      <c r="G2" s="1507"/>
      <c r="H2" s="1507"/>
      <c r="I2" s="1507"/>
      <c r="J2" s="1507"/>
      <c r="K2" s="1507"/>
      <c r="L2" s="1507"/>
      <c r="M2" s="1507"/>
      <c r="N2" s="750"/>
      <c r="O2" s="751" t="s">
        <v>313</v>
      </c>
      <c r="P2" s="2107">
        <v>43175</v>
      </c>
      <c r="Q2" s="2108"/>
    </row>
    <row r="3" spans="1:17">
      <c r="A3" s="370"/>
      <c r="B3" s="135"/>
      <c r="C3" s="135"/>
      <c r="D3" s="135"/>
      <c r="E3" s="228"/>
      <c r="O3" s="303" t="s">
        <v>315</v>
      </c>
      <c r="P3" s="2109">
        <v>43171</v>
      </c>
      <c r="Q3" s="2109"/>
    </row>
    <row r="4" spans="1:17" ht="64.5" customHeight="1">
      <c r="A4" s="371" t="s">
        <v>1547</v>
      </c>
      <c r="B4" s="2106" t="s">
        <v>307</v>
      </c>
      <c r="C4" s="2106"/>
      <c r="D4" s="2106" t="s">
        <v>1548</v>
      </c>
      <c r="E4" s="2106"/>
      <c r="F4" s="344" t="s">
        <v>1549</v>
      </c>
      <c r="G4" s="344" t="s">
        <v>1550</v>
      </c>
      <c r="H4" s="344" t="s">
        <v>1551</v>
      </c>
      <c r="J4" s="371" t="s">
        <v>1547</v>
      </c>
      <c r="K4" s="2106" t="s">
        <v>307</v>
      </c>
      <c r="L4" s="2106"/>
      <c r="M4" s="2106" t="s">
        <v>1548</v>
      </c>
      <c r="N4" s="2106"/>
      <c r="O4" s="344" t="s">
        <v>1549</v>
      </c>
      <c r="P4" s="344" t="s">
        <v>1550</v>
      </c>
      <c r="Q4" s="344" t="s">
        <v>1551</v>
      </c>
    </row>
    <row r="5" spans="1:17" ht="18" customHeight="1">
      <c r="A5" s="2106" t="s">
        <v>1619</v>
      </c>
      <c r="B5" s="2106"/>
      <c r="C5" s="2106"/>
      <c r="D5" s="2106"/>
      <c r="E5" s="2106"/>
      <c r="F5" s="2106"/>
      <c r="G5" s="2106"/>
      <c r="H5" s="2106"/>
      <c r="J5" s="2106" t="s">
        <v>1620</v>
      </c>
      <c r="K5" s="2106"/>
      <c r="L5" s="2106"/>
      <c r="M5" s="2106"/>
      <c r="N5" s="2106"/>
      <c r="O5" s="2106"/>
      <c r="P5" s="2106"/>
      <c r="Q5" s="2106"/>
    </row>
    <row r="6" spans="1:17" ht="66.75" customHeight="1">
      <c r="A6" s="185"/>
      <c r="B6" s="2048" t="s">
        <v>1621</v>
      </c>
      <c r="C6" s="2048"/>
      <c r="D6" s="2013" t="s">
        <v>1622</v>
      </c>
      <c r="E6" s="2013"/>
      <c r="F6" s="44">
        <v>5.58</v>
      </c>
      <c r="G6" s="339">
        <f>ROUND(1620*Belarus*(1-B38),2)</f>
        <v>1620</v>
      </c>
      <c r="H6" s="339">
        <f>ROUND(1863*Belarus*(1-B38),2)</f>
        <v>1863</v>
      </c>
      <c r="J6" s="1530"/>
      <c r="K6" s="2048" t="s">
        <v>1623</v>
      </c>
      <c r="L6" s="2048"/>
      <c r="M6" s="2008" t="s">
        <v>1624</v>
      </c>
      <c r="N6" s="2008"/>
      <c r="O6" s="103">
        <v>7.59</v>
      </c>
      <c r="P6" s="339">
        <f>ROUND(2916*Belarus*(1-F38),2)</f>
        <v>2916</v>
      </c>
      <c r="Q6" s="339">
        <f>ROUND(3348*Belarus*(1-F38),2)</f>
        <v>3348</v>
      </c>
    </row>
    <row r="7" spans="1:17" ht="47.25" customHeight="1">
      <c r="A7" s="1907"/>
      <c r="B7" s="2098" t="s">
        <v>1625</v>
      </c>
      <c r="C7" s="2099"/>
      <c r="D7" s="2037" t="s">
        <v>1626</v>
      </c>
      <c r="E7" s="2039" t="s">
        <v>1627</v>
      </c>
      <c r="F7" s="1900">
        <v>6.03</v>
      </c>
      <c r="G7" s="2017">
        <f>ROUND(2164*Belarus*(1-B38),2)</f>
        <v>2164</v>
      </c>
      <c r="H7" s="2017">
        <f>ROUND(2493*Belarus*(1-B38),2)</f>
        <v>2493</v>
      </c>
      <c r="J7" s="1530"/>
      <c r="K7" s="2090" t="s">
        <v>1628</v>
      </c>
      <c r="L7" s="2091"/>
      <c r="M7" s="346" t="s">
        <v>3635</v>
      </c>
      <c r="N7" s="698" t="s">
        <v>3636</v>
      </c>
      <c r="O7" s="103">
        <v>1.75</v>
      </c>
      <c r="P7" s="339">
        <f>ROUND(540*Belarus*(1-F38),2)</f>
        <v>540</v>
      </c>
      <c r="Q7" s="339">
        <f>ROUND(621*Belarus*(1-F38),2)</f>
        <v>621</v>
      </c>
    </row>
    <row r="8" spans="1:17" ht="46.5" customHeight="1">
      <c r="A8" s="1909"/>
      <c r="B8" s="2110"/>
      <c r="C8" s="2111"/>
      <c r="D8" s="2038"/>
      <c r="E8" s="2040"/>
      <c r="F8" s="1901"/>
      <c r="G8" s="2018"/>
      <c r="H8" s="2018"/>
      <c r="J8" s="1530"/>
      <c r="K8" s="2048" t="s">
        <v>1631</v>
      </c>
      <c r="L8" s="2048"/>
      <c r="M8" s="2008" t="s">
        <v>1632</v>
      </c>
      <c r="N8" s="2008"/>
      <c r="O8" s="103">
        <v>0.16</v>
      </c>
      <c r="P8" s="339">
        <f>ROUND(216*Belarus*(1-F38),2)</f>
        <v>216</v>
      </c>
      <c r="Q8" s="339">
        <f>ROUND(248*Belarus*(1-F38),2)</f>
        <v>248</v>
      </c>
    </row>
    <row r="9" spans="1:17" ht="54" customHeight="1">
      <c r="A9" s="225"/>
      <c r="B9" s="2090" t="s">
        <v>3637</v>
      </c>
      <c r="C9" s="1430"/>
      <c r="D9" s="346" t="s">
        <v>3698</v>
      </c>
      <c r="E9" s="698" t="s">
        <v>3638</v>
      </c>
      <c r="F9" s="103" t="s">
        <v>369</v>
      </c>
      <c r="G9" s="339">
        <f>ROUND(1620*Belarus*(1-B38),2)</f>
        <v>1620</v>
      </c>
      <c r="H9" s="339" t="s">
        <v>369</v>
      </c>
      <c r="J9" s="1530"/>
      <c r="K9" s="2048" t="s">
        <v>1636</v>
      </c>
      <c r="L9" s="2048"/>
      <c r="M9" s="346" t="s">
        <v>3639</v>
      </c>
      <c r="N9" s="698" t="s">
        <v>1640</v>
      </c>
      <c r="O9" s="103">
        <v>0.56000000000000005</v>
      </c>
      <c r="P9" s="339">
        <f>ROUND(216*Belarus*(1-F38),2)</f>
        <v>216</v>
      </c>
      <c r="Q9" s="339">
        <f>ROUND(248*Belarus*(1-F38),2)</f>
        <v>248</v>
      </c>
    </row>
    <row r="10" spans="1:17" ht="63" customHeight="1">
      <c r="A10" s="699"/>
      <c r="B10" s="2098" t="s">
        <v>3640</v>
      </c>
      <c r="C10" s="2099"/>
      <c r="D10" s="346" t="s">
        <v>3699</v>
      </c>
      <c r="E10" s="698" t="s">
        <v>3641</v>
      </c>
      <c r="F10" s="103" t="s">
        <v>369</v>
      </c>
      <c r="G10" s="339">
        <f>ROUND(1950*Belarus*(1-B38),2)</f>
        <v>1950</v>
      </c>
      <c r="H10" s="339" t="s">
        <v>369</v>
      </c>
      <c r="J10" s="1530"/>
      <c r="K10" s="2048" t="s">
        <v>1638</v>
      </c>
      <c r="L10" s="2090"/>
      <c r="M10" s="346" t="s">
        <v>1639</v>
      </c>
      <c r="N10" s="347" t="s">
        <v>1640</v>
      </c>
      <c r="O10" s="242">
        <v>0.36</v>
      </c>
      <c r="P10" s="339">
        <f>ROUND(216*Belarus*(1-F38),2)</f>
        <v>216</v>
      </c>
      <c r="Q10" s="339">
        <f>ROUND(248*Belarus*(1-F38),2)</f>
        <v>248</v>
      </c>
    </row>
    <row r="11" spans="1:17" ht="68.25" customHeight="1">
      <c r="A11" s="103"/>
      <c r="B11" s="2048" t="s">
        <v>1629</v>
      </c>
      <c r="C11" s="2048"/>
      <c r="D11" s="2105" t="s">
        <v>1630</v>
      </c>
      <c r="E11" s="2105"/>
      <c r="F11" s="44">
        <v>2.4500000000000002</v>
      </c>
      <c r="G11" s="339">
        <f>ROUND(880*Belarus*(1-B38),2)</f>
        <v>880</v>
      </c>
      <c r="H11" s="339">
        <f>ROUND(1010*Belarus*(1-B38),2)</f>
        <v>1010</v>
      </c>
      <c r="J11" s="1530"/>
      <c r="K11" s="2048" t="s">
        <v>1641</v>
      </c>
      <c r="L11" s="2048"/>
      <c r="M11" s="346" t="s">
        <v>1642</v>
      </c>
      <c r="N11" s="698" t="s">
        <v>1643</v>
      </c>
      <c r="O11" s="103">
        <v>2.84</v>
      </c>
      <c r="P11" s="339">
        <f>ROUND(918*Belarus*(1-F38),2)</f>
        <v>918</v>
      </c>
      <c r="Q11" s="339">
        <f>ROUND(1048*Belarus*(1-F38),2)</f>
        <v>1048</v>
      </c>
    </row>
    <row r="12" spans="1:17" ht="23.25" customHeight="1">
      <c r="A12" s="1765"/>
      <c r="B12" s="2048" t="s">
        <v>1633</v>
      </c>
      <c r="C12" s="2048"/>
      <c r="D12" s="2058" t="s">
        <v>1634</v>
      </c>
      <c r="E12" s="2045" t="s">
        <v>1635</v>
      </c>
      <c r="F12" s="1716">
        <v>2.75</v>
      </c>
      <c r="G12" s="1752">
        <f>ROUND(1242*Belarus*(1-B38),2)</f>
        <v>1242</v>
      </c>
      <c r="H12" s="1752">
        <f>ROUND(1428*Belarus*(1-B38),2)</f>
        <v>1428</v>
      </c>
      <c r="J12" s="1530"/>
      <c r="K12" s="2104" t="s">
        <v>1645</v>
      </c>
      <c r="L12" s="2104"/>
      <c r="M12" s="2104"/>
      <c r="N12" s="2104"/>
      <c r="O12" s="103">
        <v>13.2</v>
      </c>
      <c r="P12" s="1752">
        <f>ROUND(5080*Belarus*(1-F38),2)</f>
        <v>5080</v>
      </c>
      <c r="Q12" s="1752"/>
    </row>
    <row r="13" spans="1:17" ht="56.25" customHeight="1">
      <c r="A13" s="1456"/>
      <c r="B13" s="2048"/>
      <c r="C13" s="2048"/>
      <c r="D13" s="2058"/>
      <c r="E13" s="2045"/>
      <c r="F13" s="1716"/>
      <c r="G13" s="1752"/>
      <c r="H13" s="1752"/>
      <c r="J13" s="1765"/>
      <c r="K13" s="2090" t="s">
        <v>1646</v>
      </c>
      <c r="L13" s="2091"/>
      <c r="M13" s="689" t="s">
        <v>1647</v>
      </c>
      <c r="N13" s="690" t="s">
        <v>1648</v>
      </c>
      <c r="O13" s="300">
        <v>8.6999999999999993</v>
      </c>
      <c r="P13" s="2095">
        <f>ROUND(2600*Belarus*(1-E38),2)</f>
        <v>2600</v>
      </c>
      <c r="Q13" s="2096"/>
    </row>
    <row r="14" spans="1:17" ht="68.25" customHeight="1">
      <c r="A14" s="225"/>
      <c r="B14" s="2098" t="s">
        <v>3642</v>
      </c>
      <c r="C14" s="2099"/>
      <c r="D14" s="691" t="s">
        <v>3700</v>
      </c>
      <c r="E14" s="693" t="s">
        <v>3643</v>
      </c>
      <c r="F14" s="103" t="s">
        <v>369</v>
      </c>
      <c r="G14" s="339">
        <f>ROUND(880*Belarus*(1-B38),2)</f>
        <v>880</v>
      </c>
      <c r="H14" s="339" t="s">
        <v>369</v>
      </c>
      <c r="J14" s="1456"/>
      <c r="K14" s="2048" t="s">
        <v>1651</v>
      </c>
      <c r="L14" s="2048"/>
      <c r="M14" s="346" t="s">
        <v>1652</v>
      </c>
      <c r="N14" s="698" t="s">
        <v>1653</v>
      </c>
      <c r="O14" s="44">
        <v>14.2</v>
      </c>
      <c r="P14" s="2095">
        <f>ROUND(5400*Belarus*(1-E38),2)</f>
        <v>5400</v>
      </c>
      <c r="Q14" s="2096"/>
    </row>
    <row r="15" spans="1:17" ht="59.25" customHeight="1">
      <c r="A15" s="699"/>
      <c r="B15" s="2048" t="s">
        <v>3644</v>
      </c>
      <c r="C15" s="2048"/>
      <c r="D15" s="692" t="s">
        <v>3701</v>
      </c>
      <c r="E15" s="693" t="s">
        <v>3645</v>
      </c>
      <c r="F15" s="103" t="s">
        <v>369</v>
      </c>
      <c r="G15" s="339">
        <f>ROUND(1170*Belarus*(1-B38),2)</f>
        <v>1170</v>
      </c>
      <c r="H15" s="339" t="s">
        <v>369</v>
      </c>
      <c r="J15" s="1530"/>
      <c r="K15" s="2048" t="s">
        <v>1655</v>
      </c>
      <c r="L15" s="2048"/>
      <c r="M15" s="346" t="s">
        <v>1656</v>
      </c>
      <c r="N15" s="698" t="s">
        <v>1657</v>
      </c>
      <c r="O15" s="44">
        <v>8.3000000000000007</v>
      </c>
      <c r="P15" s="2095">
        <f>ROUND(3100*Belarus*(1-E38),2)</f>
        <v>3100</v>
      </c>
      <c r="Q15" s="2096"/>
    </row>
    <row r="16" spans="1:17" ht="55.5" customHeight="1">
      <c r="A16" s="103"/>
      <c r="B16" s="2048" t="s">
        <v>876</v>
      </c>
      <c r="C16" s="2048"/>
      <c r="D16" s="2100" t="s">
        <v>1649</v>
      </c>
      <c r="E16" s="2101"/>
      <c r="F16" s="359" t="s">
        <v>369</v>
      </c>
      <c r="G16" s="2102">
        <f>ROUND(55*Belarus*(1-B38),2)</f>
        <v>55</v>
      </c>
      <c r="H16" s="2103"/>
      <c r="J16" s="1530"/>
      <c r="K16" s="2090" t="s">
        <v>1658</v>
      </c>
      <c r="L16" s="2091"/>
      <c r="M16" s="689" t="s">
        <v>1659</v>
      </c>
      <c r="N16" s="690" t="s">
        <v>1660</v>
      </c>
      <c r="O16" s="509">
        <v>13.6</v>
      </c>
      <c r="P16" s="2095">
        <f>ROUND(6250*Belarus*(1-E38),2)</f>
        <v>6250</v>
      </c>
      <c r="Q16" s="2096"/>
    </row>
    <row r="17" spans="1:17" ht="65.25" customHeight="1">
      <c r="A17" s="279"/>
      <c r="B17" s="2048" t="s">
        <v>1664</v>
      </c>
      <c r="C17" s="2048"/>
      <c r="D17" s="700" t="s">
        <v>1665</v>
      </c>
      <c r="E17" s="701" t="s">
        <v>1666</v>
      </c>
      <c r="F17" s="372">
        <v>6.42</v>
      </c>
      <c r="G17" s="218">
        <f>ROUND(2209*Belarus*(1-D38),2)</f>
        <v>2209</v>
      </c>
      <c r="H17" s="218">
        <f>ROUND(2538*Belarus*(1-D38),2)</f>
        <v>2538</v>
      </c>
      <c r="J17" s="1765"/>
      <c r="K17" s="2097" t="s">
        <v>1667</v>
      </c>
      <c r="L17" s="2097"/>
      <c r="M17" s="198" t="s">
        <v>1668</v>
      </c>
      <c r="N17" s="702" t="s">
        <v>1669</v>
      </c>
      <c r="O17" s="103" t="s">
        <v>1190</v>
      </c>
      <c r="P17" s="1752">
        <f>ROUND(3260*Belarus*(1-E38),2)</f>
        <v>3260</v>
      </c>
      <c r="Q17" s="1752"/>
    </row>
    <row r="18" spans="1:17" ht="66.75" customHeight="1">
      <c r="A18" s="103"/>
      <c r="B18" s="2048" t="s">
        <v>1670</v>
      </c>
      <c r="C18" s="2048"/>
      <c r="D18" s="703" t="s">
        <v>1671</v>
      </c>
      <c r="E18" s="704" t="s">
        <v>1672</v>
      </c>
      <c r="F18" s="44">
        <v>7.32</v>
      </c>
      <c r="G18" s="339">
        <f>ROUND(3045*Belarus*(1-D38),2)</f>
        <v>3045</v>
      </c>
      <c r="H18" s="339">
        <f>ROUND(3349*Belarus*(1-D38),2)</f>
        <v>3349</v>
      </c>
      <c r="J18" s="1456"/>
      <c r="K18" s="2097" t="s">
        <v>1673</v>
      </c>
      <c r="L18" s="2097"/>
      <c r="M18" s="198" t="s">
        <v>1674</v>
      </c>
      <c r="N18" s="702" t="s">
        <v>1675</v>
      </c>
      <c r="O18" s="103" t="s">
        <v>1190</v>
      </c>
      <c r="P18" s="1752">
        <f>ROUND(6150*Belarus*(1-E38),2)</f>
        <v>6150</v>
      </c>
      <c r="Q18" s="1752"/>
    </row>
    <row r="19" spans="1:17" ht="45" customHeight="1">
      <c r="A19" s="1530"/>
      <c r="B19" s="2048" t="s">
        <v>1676</v>
      </c>
      <c r="C19" s="2048"/>
      <c r="D19" s="2093" t="s">
        <v>1677</v>
      </c>
      <c r="E19" s="2093" t="s">
        <v>1678</v>
      </c>
      <c r="F19" s="1716">
        <v>9.0399999999999991</v>
      </c>
      <c r="G19" s="1752">
        <f>ROUND(2826*Belarus*(1-D38),2)</f>
        <v>2826</v>
      </c>
      <c r="H19" s="1752">
        <f>ROUND(3251*Belarus*(1-D38),2)</f>
        <v>3251</v>
      </c>
      <c r="J19" s="103"/>
      <c r="K19" s="2048" t="s">
        <v>1650</v>
      </c>
      <c r="L19" s="2048"/>
      <c r="M19" s="2008" t="s">
        <v>1570</v>
      </c>
      <c r="N19" s="2008"/>
      <c r="O19" s="44">
        <v>0.55000000000000004</v>
      </c>
      <c r="P19" s="339">
        <f>ROUND(262*Belarus*(1-B38),2)</f>
        <v>262</v>
      </c>
      <c r="Q19" s="339">
        <f>ROUND(302*Belarus*(1-B38),2)</f>
        <v>302</v>
      </c>
    </row>
    <row r="20" spans="1:17" ht="51.75" customHeight="1">
      <c r="A20" s="1530"/>
      <c r="B20" s="2048"/>
      <c r="C20" s="2048"/>
      <c r="D20" s="2094"/>
      <c r="E20" s="2094"/>
      <c r="F20" s="1900"/>
      <c r="G20" s="2017"/>
      <c r="H20" s="2017"/>
      <c r="J20" s="283"/>
      <c r="K20" s="2090" t="s">
        <v>1654</v>
      </c>
      <c r="L20" s="2091"/>
      <c r="M20" s="689" t="s">
        <v>3646</v>
      </c>
      <c r="N20" s="690" t="s">
        <v>3647</v>
      </c>
      <c r="O20" s="509">
        <v>0.85</v>
      </c>
      <c r="P20" s="682">
        <f>ROUND(471*Belarus*(1-B38),2)</f>
        <v>471</v>
      </c>
      <c r="Q20" s="682">
        <f>ROUND(541*Belarus*(1-B38),2)</f>
        <v>541</v>
      </c>
    </row>
    <row r="21" spans="1:17" ht="36.75" customHeight="1">
      <c r="A21" s="1530"/>
      <c r="B21" s="2048" t="s">
        <v>1679</v>
      </c>
      <c r="C21" s="2048"/>
      <c r="D21" s="2092" t="s">
        <v>1680</v>
      </c>
      <c r="E21" s="2045" t="s">
        <v>1681</v>
      </c>
      <c r="F21" s="1716">
        <v>9.94</v>
      </c>
      <c r="G21" s="1752">
        <f>ROUND(3661*Belarus*(1-D38),2)</f>
        <v>3661</v>
      </c>
      <c r="H21" s="1752">
        <f>ROUND(4027*Belarus*(1-D38),2)</f>
        <v>4027</v>
      </c>
      <c r="J21" s="103"/>
      <c r="K21" s="2048" t="s">
        <v>1586</v>
      </c>
      <c r="L21" s="2048"/>
      <c r="M21" s="2008" t="s">
        <v>1587</v>
      </c>
      <c r="N21" s="2008"/>
      <c r="O21" s="44" t="s">
        <v>369</v>
      </c>
      <c r="P21" s="1752">
        <f>16*Belarus</f>
        <v>16</v>
      </c>
      <c r="Q21" s="1752"/>
    </row>
    <row r="22" spans="1:17" ht="31.5" customHeight="1">
      <c r="A22" s="1530"/>
      <c r="B22" s="2048"/>
      <c r="C22" s="2048"/>
      <c r="D22" s="2092"/>
      <c r="E22" s="2045"/>
      <c r="F22" s="1716"/>
      <c r="G22" s="1752"/>
      <c r="H22" s="1752"/>
      <c r="J22" s="103"/>
      <c r="K22" s="2048" t="s">
        <v>1588</v>
      </c>
      <c r="L22" s="2048"/>
      <c r="M22" s="2008" t="s">
        <v>1589</v>
      </c>
      <c r="N22" s="2008"/>
      <c r="O22" s="44" t="s">
        <v>369</v>
      </c>
      <c r="P22" s="1752">
        <f>10*Belarus</f>
        <v>10</v>
      </c>
      <c r="Q22" s="1752"/>
    </row>
    <row r="23" spans="1:17" ht="14.25" customHeight="1">
      <c r="A23" s="1718" t="s">
        <v>1683</v>
      </c>
      <c r="B23" s="1718"/>
      <c r="C23" s="1718"/>
      <c r="D23" s="1718"/>
      <c r="E23" s="1718"/>
      <c r="F23" s="1718"/>
      <c r="G23" s="1718"/>
      <c r="H23" s="1718"/>
      <c r="J23" s="1530"/>
      <c r="K23" s="2048" t="s">
        <v>1661</v>
      </c>
      <c r="L23" s="2048"/>
      <c r="M23" s="2088" t="s">
        <v>1662</v>
      </c>
      <c r="N23" s="2089" t="s">
        <v>1663</v>
      </c>
      <c r="O23" s="1530">
        <v>0.15</v>
      </c>
      <c r="P23" s="1752">
        <f>ROUND(328*Belarus*(1-B38),2)</f>
        <v>328</v>
      </c>
      <c r="Q23" s="1752">
        <f>ROUND(376*Belarus*(1-B38),2)</f>
        <v>376</v>
      </c>
    </row>
    <row r="24" spans="1:17">
      <c r="A24" s="1718" t="s">
        <v>1684</v>
      </c>
      <c r="B24" s="1718"/>
      <c r="C24" s="1718"/>
      <c r="D24" s="1718"/>
      <c r="E24" s="1718"/>
      <c r="F24" s="1718"/>
      <c r="G24" s="1718"/>
      <c r="H24" s="1718"/>
      <c r="J24" s="1530"/>
      <c r="K24" s="2048"/>
      <c r="L24" s="2048"/>
      <c r="M24" s="2088"/>
      <c r="N24" s="2089"/>
      <c r="O24" s="1530"/>
      <c r="P24" s="1752"/>
      <c r="Q24" s="1752"/>
    </row>
    <row r="25" spans="1:17">
      <c r="A25" s="1303" t="s">
        <v>1688</v>
      </c>
      <c r="B25" s="1304"/>
      <c r="C25" s="1304"/>
      <c r="D25" s="1304"/>
      <c r="E25" s="1304"/>
      <c r="F25" s="1304"/>
      <c r="G25" s="1304"/>
      <c r="H25" s="1305"/>
      <c r="J25" s="1530"/>
      <c r="K25" s="2048"/>
      <c r="L25" s="2048"/>
      <c r="M25" s="2088"/>
      <c r="N25" s="2089"/>
      <c r="O25" s="1530"/>
      <c r="P25" s="1752"/>
      <c r="Q25" s="1752"/>
    </row>
    <row r="26" spans="1:17" ht="13.5" customHeight="1">
      <c r="A26" s="1592" t="s">
        <v>3648</v>
      </c>
      <c r="B26" s="1593"/>
      <c r="C26" s="1593"/>
      <c r="D26" s="1593"/>
      <c r="E26" s="1593"/>
      <c r="F26" s="1593"/>
      <c r="G26" s="1593"/>
      <c r="H26" s="1594"/>
      <c r="J26" s="1530"/>
      <c r="K26" s="2048"/>
      <c r="L26" s="2048"/>
      <c r="M26" s="2088"/>
      <c r="N26" s="2089"/>
      <c r="O26" s="1530"/>
      <c r="P26" s="1752"/>
      <c r="Q26" s="1752"/>
    </row>
    <row r="27" spans="1:17" ht="12.75" customHeight="1">
      <c r="A27" s="1303" t="s">
        <v>3649</v>
      </c>
      <c r="B27" s="1304"/>
      <c r="C27" s="1304"/>
      <c r="D27" s="1304"/>
      <c r="E27" s="1304"/>
      <c r="F27" s="1304"/>
      <c r="G27" s="1304"/>
      <c r="H27" s="1305"/>
      <c r="J27" s="1530"/>
      <c r="K27" s="2048"/>
      <c r="L27" s="2048"/>
      <c r="M27" s="2088"/>
      <c r="N27" s="2089"/>
      <c r="O27" s="1530"/>
      <c r="P27" s="1752"/>
      <c r="Q27" s="1752"/>
    </row>
    <row r="28" spans="1:17" ht="12.75" customHeight="1">
      <c r="A28" s="1384" t="s">
        <v>1686</v>
      </c>
      <c r="B28" s="1385"/>
      <c r="C28" s="1385"/>
      <c r="D28" s="1385"/>
      <c r="E28" s="1385"/>
      <c r="F28" s="1385"/>
      <c r="G28" s="1385"/>
      <c r="H28" s="2075"/>
      <c r="J28" s="2079" t="s">
        <v>1682</v>
      </c>
      <c r="K28" s="2080"/>
      <c r="L28" s="2080"/>
      <c r="M28" s="2080"/>
      <c r="N28" s="2080"/>
      <c r="O28" s="2080"/>
      <c r="P28" s="2080"/>
      <c r="Q28" s="2081"/>
    </row>
    <row r="29" spans="1:17" ht="12.75" customHeight="1">
      <c r="A29" s="1384" t="s">
        <v>1685</v>
      </c>
      <c r="B29" s="1385"/>
      <c r="C29" s="1385"/>
      <c r="D29" s="1385"/>
      <c r="E29" s="1385"/>
      <c r="F29" s="1385"/>
      <c r="G29" s="1385"/>
      <c r="H29" s="2075"/>
      <c r="J29" s="2082"/>
      <c r="K29" s="2083"/>
      <c r="L29" s="2083"/>
      <c r="M29" s="2083"/>
      <c r="N29" s="2083"/>
      <c r="O29" s="2083"/>
      <c r="P29" s="2083"/>
      <c r="Q29" s="2084"/>
    </row>
    <row r="30" spans="1:17" ht="12.75" customHeight="1">
      <c r="A30" s="1384" t="s">
        <v>1687</v>
      </c>
      <c r="B30" s="1385"/>
      <c r="C30" s="1385"/>
      <c r="D30" s="1385"/>
      <c r="E30" s="1385"/>
      <c r="F30" s="1385"/>
      <c r="G30" s="1385"/>
      <c r="H30" s="2075"/>
      <c r="J30" s="2082"/>
      <c r="K30" s="2083"/>
      <c r="L30" s="2083"/>
      <c r="M30" s="2083"/>
      <c r="N30" s="2083"/>
      <c r="O30" s="2083"/>
      <c r="P30" s="2083"/>
      <c r="Q30" s="2084"/>
    </row>
    <row r="31" spans="1:17" ht="45" customHeight="1">
      <c r="A31" s="1418" t="s">
        <v>3650</v>
      </c>
      <c r="B31" s="1419"/>
      <c r="C31" s="1419"/>
      <c r="D31" s="1419"/>
      <c r="E31" s="1419"/>
      <c r="F31" s="1419"/>
      <c r="G31" s="1419"/>
      <c r="H31" s="1420"/>
      <c r="J31" s="2085"/>
      <c r="K31" s="2086"/>
      <c r="L31" s="2086"/>
      <c r="M31" s="2086"/>
      <c r="N31" s="2086"/>
      <c r="O31" s="2086"/>
      <c r="P31" s="2086"/>
      <c r="Q31" s="2087"/>
    </row>
    <row r="32" spans="1:17">
      <c r="A32" s="1424"/>
      <c r="B32" s="1425"/>
      <c r="C32" s="1425"/>
      <c r="D32" s="1425"/>
      <c r="E32" s="1425"/>
      <c r="F32" s="1425"/>
      <c r="G32" s="1425"/>
      <c r="H32" s="1426"/>
      <c r="J32" s="1718" t="s">
        <v>1689</v>
      </c>
      <c r="K32" s="1718"/>
      <c r="L32" s="1718"/>
      <c r="M32" s="1718"/>
      <c r="N32" s="1718"/>
      <c r="O32" s="1718"/>
      <c r="P32" s="1718"/>
      <c r="Q32" s="1718"/>
    </row>
    <row r="33" spans="1:8" ht="14.25" customHeight="1">
      <c r="F33" s="228"/>
      <c r="G33" s="228"/>
      <c r="H33" s="228"/>
    </row>
    <row r="34" spans="1:8">
      <c r="F34" s="228"/>
      <c r="G34" s="228"/>
      <c r="H34" s="228"/>
    </row>
    <row r="35" spans="1:8">
      <c r="C35" s="15"/>
      <c r="D35" s="15"/>
      <c r="E35" s="228"/>
      <c r="F35" s="228"/>
      <c r="G35" s="228"/>
      <c r="H35" s="228"/>
    </row>
    <row r="36" spans="1:8" ht="23.25" customHeight="1"/>
    <row r="37" spans="1:8" ht="28.5" customHeight="1">
      <c r="A37" s="1595" t="s">
        <v>508</v>
      </c>
      <c r="B37" s="1324" t="s">
        <v>1690</v>
      </c>
      <c r="C37" s="1326"/>
      <c r="D37" s="141" t="s">
        <v>1691</v>
      </c>
      <c r="E37" s="688" t="s">
        <v>1692</v>
      </c>
      <c r="F37" s="2076" t="s">
        <v>1693</v>
      </c>
      <c r="G37" s="2076"/>
      <c r="H37" s="2076"/>
    </row>
    <row r="38" spans="1:8">
      <c r="A38" s="1595"/>
      <c r="B38" s="1313">
        <v>0</v>
      </c>
      <c r="C38" s="1315"/>
      <c r="D38" s="1331">
        <v>0</v>
      </c>
      <c r="E38" s="2077">
        <v>0</v>
      </c>
      <c r="F38" s="2078">
        <v>0</v>
      </c>
      <c r="G38" s="2078"/>
      <c r="H38" s="2078"/>
    </row>
    <row r="39" spans="1:8">
      <c r="A39" s="1595"/>
      <c r="B39" s="1319"/>
      <c r="C39" s="1321"/>
      <c r="D39" s="1331"/>
      <c r="E39" s="2077"/>
      <c r="F39" s="2078"/>
      <c r="G39" s="2078"/>
      <c r="H39" s="2078"/>
    </row>
  </sheetData>
  <mergeCells count="111">
    <mergeCell ref="M6:N6"/>
    <mergeCell ref="A7:A8"/>
    <mergeCell ref="B7:C8"/>
    <mergeCell ref="D7:D8"/>
    <mergeCell ref="G7:G8"/>
    <mergeCell ref="H7:H8"/>
    <mergeCell ref="K7:L7"/>
    <mergeCell ref="K8:L8"/>
    <mergeCell ref="A1:D1"/>
    <mergeCell ref="P2:Q2"/>
    <mergeCell ref="P3:Q3"/>
    <mergeCell ref="B4:C4"/>
    <mergeCell ref="D4:E4"/>
    <mergeCell ref="K4:L4"/>
    <mergeCell ref="M4:N4"/>
    <mergeCell ref="A2:M2"/>
    <mergeCell ref="A5:H5"/>
    <mergeCell ref="J5:Q5"/>
    <mergeCell ref="B6:C6"/>
    <mergeCell ref="D6:E6"/>
    <mergeCell ref="J6:J12"/>
    <mergeCell ref="K6:L6"/>
    <mergeCell ref="M8:N8"/>
    <mergeCell ref="B9:C9"/>
    <mergeCell ref="K9:L9"/>
    <mergeCell ref="B10:C10"/>
    <mergeCell ref="K10:L10"/>
    <mergeCell ref="B11:C11"/>
    <mergeCell ref="D11:E11"/>
    <mergeCell ref="K11:L11"/>
    <mergeCell ref="E7:E8"/>
    <mergeCell ref="F7:F8"/>
    <mergeCell ref="A12:A13"/>
    <mergeCell ref="B12:C13"/>
    <mergeCell ref="D12:D13"/>
    <mergeCell ref="E12:E13"/>
    <mergeCell ref="F12:F13"/>
    <mergeCell ref="G12:G13"/>
    <mergeCell ref="H12:H13"/>
    <mergeCell ref="K12:N12"/>
    <mergeCell ref="P12:Q12"/>
    <mergeCell ref="J13:J14"/>
    <mergeCell ref="K13:L13"/>
    <mergeCell ref="P13:Q13"/>
    <mergeCell ref="B14:C14"/>
    <mergeCell ref="K14:L14"/>
    <mergeCell ref="P14:Q14"/>
    <mergeCell ref="B15:C15"/>
    <mergeCell ref="J15:J16"/>
    <mergeCell ref="K15:L15"/>
    <mergeCell ref="P15:Q15"/>
    <mergeCell ref="B16:C16"/>
    <mergeCell ref="D16:E16"/>
    <mergeCell ref="G16:H16"/>
    <mergeCell ref="K16:L16"/>
    <mergeCell ref="P16:Q16"/>
    <mergeCell ref="B17:C17"/>
    <mergeCell ref="J17:J18"/>
    <mergeCell ref="K17:L17"/>
    <mergeCell ref="P17:Q17"/>
    <mergeCell ref="B18:C18"/>
    <mergeCell ref="K18:L18"/>
    <mergeCell ref="P18:Q18"/>
    <mergeCell ref="A19:A20"/>
    <mergeCell ref="B19:C20"/>
    <mergeCell ref="D19:D20"/>
    <mergeCell ref="E19:E20"/>
    <mergeCell ref="F19:F20"/>
    <mergeCell ref="G19:G20"/>
    <mergeCell ref="P21:Q21"/>
    <mergeCell ref="K22:L22"/>
    <mergeCell ref="A21:A22"/>
    <mergeCell ref="B21:C22"/>
    <mergeCell ref="D21:D22"/>
    <mergeCell ref="E21:E22"/>
    <mergeCell ref="F21:F22"/>
    <mergeCell ref="G21:G22"/>
    <mergeCell ref="P22:Q22"/>
    <mergeCell ref="H19:H20"/>
    <mergeCell ref="K19:L19"/>
    <mergeCell ref="M19:N19"/>
    <mergeCell ref="K20:L20"/>
    <mergeCell ref="H21:H22"/>
    <mergeCell ref="K21:L21"/>
    <mergeCell ref="M21:N21"/>
    <mergeCell ref="M22:N22"/>
    <mergeCell ref="A23:H23"/>
    <mergeCell ref="J23:J27"/>
    <mergeCell ref="O23:O27"/>
    <mergeCell ref="K23:L27"/>
    <mergeCell ref="M23:M27"/>
    <mergeCell ref="N23:N27"/>
    <mergeCell ref="A24:H24"/>
    <mergeCell ref="J28:Q31"/>
    <mergeCell ref="A29:H29"/>
    <mergeCell ref="A30:H30"/>
    <mergeCell ref="A31:H32"/>
    <mergeCell ref="J32:Q32"/>
    <mergeCell ref="A25:H25"/>
    <mergeCell ref="A26:H26"/>
    <mergeCell ref="A27:H27"/>
    <mergeCell ref="P23:P27"/>
    <mergeCell ref="Q23:Q27"/>
    <mergeCell ref="A28:H28"/>
    <mergeCell ref="A37:A39"/>
    <mergeCell ref="B37:C37"/>
    <mergeCell ref="F37:H37"/>
    <mergeCell ref="B38:C39"/>
    <mergeCell ref="D38:D39"/>
    <mergeCell ref="E38:E39"/>
    <mergeCell ref="F38:H39"/>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46" orientation="landscape" horizontalDpi="300" verticalDpi="300" r:id="rId1"/>
  <headerFooter scaleWithDoc="0">
    <oddHeader xml:space="preserve">&amp;L&amp;G&amp;R&amp;5Центр поддержки клиентов Grand Line: +7 (495) 748-38-38
cайт: www.grandline.ru   </oddHeader>
    <oddFooter>&amp;R&amp;5Страница 19</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1"/>
  <sheetViews>
    <sheetView zoomScale="70" zoomScaleNormal="70" workbookViewId="0">
      <selection activeCell="A2" sqref="A2:K2"/>
    </sheetView>
  </sheetViews>
  <sheetFormatPr defaultRowHeight="12.75"/>
  <cols>
    <col min="1" max="1" width="29.7109375" style="1" customWidth="1"/>
    <col min="2" max="2" width="23.85546875" style="1" customWidth="1"/>
    <col min="3" max="3" width="17.140625" style="1" customWidth="1"/>
    <col min="4" max="4" width="13.140625" style="1" customWidth="1"/>
    <col min="5" max="5" width="13" style="1" customWidth="1"/>
    <col min="6" max="6" width="5.42578125" style="1" customWidth="1"/>
    <col min="7" max="7" width="20.5703125" style="1" customWidth="1"/>
    <col min="8" max="8" width="22.5703125" style="1" customWidth="1"/>
    <col min="9" max="9" width="17" style="1" customWidth="1"/>
    <col min="10" max="11" width="13" style="1" customWidth="1"/>
    <col min="12" max="16384" width="9.140625" style="1"/>
  </cols>
  <sheetData>
    <row r="1" spans="1:13" ht="70.5" customHeight="1">
      <c r="A1" s="1272"/>
      <c r="B1" s="1272"/>
      <c r="C1" s="1272"/>
      <c r="D1" s="1272"/>
      <c r="E1" s="1272"/>
      <c r="F1" s="1272"/>
      <c r="G1" s="1272"/>
      <c r="H1" s="1272"/>
      <c r="I1" s="1272"/>
      <c r="J1" s="1272"/>
      <c r="K1" s="1272"/>
    </row>
    <row r="2" spans="1:13" s="37" customFormat="1" ht="18.75" thickBot="1">
      <c r="A2" s="1273" t="s">
        <v>281</v>
      </c>
      <c r="B2" s="1273"/>
      <c r="C2" s="1273"/>
      <c r="D2" s="1273"/>
      <c r="E2" s="1273"/>
      <c r="F2" s="1273"/>
      <c r="G2" s="1273"/>
      <c r="H2" s="1273"/>
      <c r="I2" s="1273"/>
      <c r="J2" s="1273"/>
      <c r="K2" s="1273"/>
    </row>
    <row r="3" spans="1:13" s="37" customFormat="1" ht="5.25" customHeight="1">
      <c r="A3" s="38"/>
      <c r="B3" s="38"/>
      <c r="C3" s="38"/>
      <c r="D3" s="38"/>
      <c r="E3" s="38"/>
      <c r="F3" s="38"/>
    </row>
    <row r="4" spans="1:13" s="37" customFormat="1" ht="24" customHeight="1">
      <c r="A4" s="1274" t="s">
        <v>282</v>
      </c>
      <c r="B4" s="1275"/>
      <c r="C4" s="1275"/>
      <c r="D4" s="1275"/>
      <c r="E4" s="1275"/>
      <c r="F4" s="1276"/>
      <c r="G4" s="1275"/>
      <c r="H4" s="1275"/>
      <c r="I4" s="1275"/>
      <c r="J4" s="1275"/>
      <c r="K4" s="1275"/>
    </row>
    <row r="5" spans="1:13" ht="12.75" customHeight="1">
      <c r="A5" s="1277" t="s">
        <v>283</v>
      </c>
      <c r="B5" s="1277" t="s">
        <v>284</v>
      </c>
      <c r="C5" s="1277" t="s">
        <v>285</v>
      </c>
      <c r="D5" s="1278" t="s">
        <v>6787</v>
      </c>
      <c r="E5" s="1278"/>
      <c r="F5" s="876"/>
      <c r="G5" s="1277" t="s">
        <v>283</v>
      </c>
      <c r="H5" s="1277" t="s">
        <v>284</v>
      </c>
      <c r="I5" s="1277" t="s">
        <v>285</v>
      </c>
      <c r="J5" s="1278" t="s">
        <v>6787</v>
      </c>
      <c r="K5" s="1278"/>
    </row>
    <row r="6" spans="1:13" s="653" customFormat="1" ht="25.5">
      <c r="A6" s="1277"/>
      <c r="B6" s="1277"/>
      <c r="C6" s="1277"/>
      <c r="D6" s="48" t="s">
        <v>6788</v>
      </c>
      <c r="E6" s="48" t="s">
        <v>3605</v>
      </c>
      <c r="F6" s="876"/>
      <c r="G6" s="1277"/>
      <c r="H6" s="1277"/>
      <c r="I6" s="1277"/>
      <c r="J6" s="48" t="s">
        <v>6788</v>
      </c>
      <c r="K6" s="48" t="s">
        <v>3545</v>
      </c>
    </row>
    <row r="7" spans="1:13" s="653" customFormat="1">
      <c r="A7" s="1279" t="s">
        <v>287</v>
      </c>
      <c r="B7" s="1279"/>
      <c r="C7" s="1279"/>
      <c r="D7" s="1279"/>
      <c r="E7" s="1279"/>
      <c r="F7" s="1201"/>
      <c r="G7" s="1279" t="s">
        <v>305</v>
      </c>
      <c r="H7" s="1279"/>
      <c r="I7" s="1279"/>
      <c r="J7" s="1279"/>
      <c r="K7" s="1279"/>
    </row>
    <row r="8" spans="1:13" s="653" customFormat="1">
      <c r="A8" s="1280" t="s">
        <v>6789</v>
      </c>
      <c r="B8" s="1281">
        <v>3005</v>
      </c>
      <c r="C8" s="1202">
        <v>1500</v>
      </c>
      <c r="D8" s="1282">
        <f>52*Belarus</f>
        <v>52</v>
      </c>
      <c r="E8" s="219">
        <v>60</v>
      </c>
      <c r="F8" s="877"/>
      <c r="G8" s="399" t="s">
        <v>291</v>
      </c>
      <c r="H8" s="43" t="s">
        <v>295</v>
      </c>
      <c r="I8" s="43" t="s">
        <v>294</v>
      </c>
      <c r="J8" s="1202" t="s">
        <v>1190</v>
      </c>
      <c r="K8" s="219">
        <f>78*Belarus</f>
        <v>78</v>
      </c>
      <c r="M8" s="1203"/>
    </row>
    <row r="9" spans="1:13" s="653" customFormat="1">
      <c r="A9" s="1280"/>
      <c r="B9" s="1281"/>
      <c r="C9" s="43" t="s">
        <v>290</v>
      </c>
      <c r="D9" s="1282"/>
      <c r="E9" s="219" t="s">
        <v>1190</v>
      </c>
      <c r="F9" s="877"/>
      <c r="G9" s="399" t="s">
        <v>296</v>
      </c>
      <c r="H9" s="44" t="s">
        <v>297</v>
      </c>
      <c r="I9" s="43" t="s">
        <v>294</v>
      </c>
      <c r="J9" s="767" t="s">
        <v>1190</v>
      </c>
      <c r="K9" s="219">
        <f>156*Belarus</f>
        <v>156</v>
      </c>
      <c r="M9" s="1203"/>
    </row>
    <row r="10" spans="1:13" s="653" customFormat="1">
      <c r="A10" s="1280"/>
      <c r="B10" s="1281">
        <v>6005</v>
      </c>
      <c r="C10" s="43">
        <v>1500</v>
      </c>
      <c r="D10" s="1282"/>
      <c r="E10" s="219">
        <v>60</v>
      </c>
      <c r="F10" s="877"/>
      <c r="G10" s="1283" t="s">
        <v>293</v>
      </c>
      <c r="H10" s="1283"/>
      <c r="I10" s="1283"/>
      <c r="J10" s="1283"/>
      <c r="K10" s="1283"/>
    </row>
    <row r="11" spans="1:13" s="653" customFormat="1">
      <c r="A11" s="1280"/>
      <c r="B11" s="1281"/>
      <c r="C11" s="43">
        <v>2000</v>
      </c>
      <c r="D11" s="1282"/>
      <c r="E11" s="219" t="s">
        <v>1190</v>
      </c>
      <c r="F11" s="877"/>
      <c r="G11" s="399" t="s">
        <v>291</v>
      </c>
      <c r="H11" s="43" t="s">
        <v>295</v>
      </c>
      <c r="I11" s="43" t="s">
        <v>294</v>
      </c>
      <c r="J11" s="1202" t="s">
        <v>1190</v>
      </c>
      <c r="K11" s="219">
        <f>78*Belarus</f>
        <v>78</v>
      </c>
    </row>
    <row r="12" spans="1:13" s="653" customFormat="1">
      <c r="A12" s="1280"/>
      <c r="B12" s="1281">
        <v>8017</v>
      </c>
      <c r="C12" s="43">
        <v>1800</v>
      </c>
      <c r="D12" s="1282"/>
      <c r="E12" s="219">
        <v>60</v>
      </c>
      <c r="F12" s="877"/>
      <c r="G12" s="399" t="s">
        <v>296</v>
      </c>
      <c r="H12" s="43" t="s">
        <v>297</v>
      </c>
      <c r="I12" s="43" t="s">
        <v>294</v>
      </c>
      <c r="J12" s="1202" t="s">
        <v>1190</v>
      </c>
      <c r="K12" s="219">
        <f>156*Belarus</f>
        <v>156</v>
      </c>
    </row>
    <row r="13" spans="1:13" s="653" customFormat="1">
      <c r="A13" s="1280"/>
      <c r="B13" s="1281"/>
      <c r="C13" s="43" t="s">
        <v>292</v>
      </c>
      <c r="D13" s="1282"/>
      <c r="E13" s="219" t="s">
        <v>1190</v>
      </c>
      <c r="F13" s="877"/>
      <c r="G13" s="1283" t="s">
        <v>288</v>
      </c>
      <c r="H13" s="1283"/>
      <c r="I13" s="1283"/>
      <c r="J13" s="1283"/>
      <c r="K13" s="1283"/>
    </row>
    <row r="14" spans="1:13" s="653" customFormat="1">
      <c r="A14" s="1286" t="s">
        <v>291</v>
      </c>
      <c r="B14" s="43">
        <v>6005</v>
      </c>
      <c r="C14" s="43">
        <v>1800</v>
      </c>
      <c r="D14" s="767">
        <f>52*Belarus</f>
        <v>52</v>
      </c>
      <c r="E14" s="219" t="s">
        <v>1190</v>
      </c>
      <c r="F14" s="877"/>
      <c r="G14" s="42" t="s">
        <v>291</v>
      </c>
      <c r="H14" s="43">
        <v>3005</v>
      </c>
      <c r="I14" s="43">
        <v>2000</v>
      </c>
      <c r="J14" s="1202" t="s">
        <v>1190</v>
      </c>
      <c r="K14" s="219">
        <f>81*Belarus</f>
        <v>81</v>
      </c>
      <c r="M14" s="1203"/>
    </row>
    <row r="15" spans="1:13" s="653" customFormat="1">
      <c r="A15" s="1287"/>
      <c r="B15" s="43">
        <v>8017</v>
      </c>
      <c r="C15" s="43">
        <v>1500</v>
      </c>
      <c r="D15" s="767" t="s">
        <v>1190</v>
      </c>
      <c r="E15" s="219">
        <v>58</v>
      </c>
      <c r="F15" s="877"/>
      <c r="G15" s="1283" t="s">
        <v>298</v>
      </c>
      <c r="H15" s="1283"/>
      <c r="I15" s="1283"/>
      <c r="J15" s="1283"/>
      <c r="K15" s="1283"/>
    </row>
    <row r="16" spans="1:13" s="653" customFormat="1">
      <c r="A16" s="1280" t="s">
        <v>299</v>
      </c>
      <c r="B16" s="44" t="s">
        <v>297</v>
      </c>
      <c r="C16" s="43">
        <v>1800</v>
      </c>
      <c r="D16" s="767">
        <f>75*Belarus</f>
        <v>75</v>
      </c>
      <c r="E16" s="219" t="s">
        <v>1190</v>
      </c>
      <c r="F16" s="877"/>
      <c r="G16" s="42" t="s">
        <v>291</v>
      </c>
      <c r="H16" s="43">
        <v>3005</v>
      </c>
      <c r="I16" s="43" t="s">
        <v>290</v>
      </c>
      <c r="J16" s="1284" t="s">
        <v>1190</v>
      </c>
      <c r="K16" s="219">
        <f>81*Belarus</f>
        <v>81</v>
      </c>
    </row>
    <row r="17" spans="1:13" s="653" customFormat="1">
      <c r="A17" s="1280"/>
      <c r="B17" s="44" t="s">
        <v>6682</v>
      </c>
      <c r="C17" s="43">
        <v>1500</v>
      </c>
      <c r="D17" s="767" t="s">
        <v>1190</v>
      </c>
      <c r="E17" s="219">
        <v>79</v>
      </c>
      <c r="F17" s="877"/>
      <c r="G17" s="1280" t="s">
        <v>296</v>
      </c>
      <c r="H17" s="43" t="s">
        <v>301</v>
      </c>
      <c r="I17" s="43">
        <v>1500</v>
      </c>
      <c r="J17" s="1284"/>
      <c r="K17" s="1285">
        <f>159*Belarus</f>
        <v>159</v>
      </c>
      <c r="M17" s="1203"/>
    </row>
    <row r="18" spans="1:13" s="653" customFormat="1">
      <c r="A18" s="1279" t="s">
        <v>300</v>
      </c>
      <c r="B18" s="1279"/>
      <c r="C18" s="1279"/>
      <c r="D18" s="1279"/>
      <c r="E18" s="1279"/>
      <c r="F18" s="1201"/>
      <c r="G18" s="1280"/>
      <c r="H18" s="43" t="s">
        <v>303</v>
      </c>
      <c r="I18" s="43" t="s">
        <v>292</v>
      </c>
      <c r="J18" s="1284"/>
      <c r="K18" s="1285"/>
    </row>
    <row r="19" spans="1:13" s="653" customFormat="1">
      <c r="A19" s="1280" t="s">
        <v>6789</v>
      </c>
      <c r="B19" s="43">
        <v>3005</v>
      </c>
      <c r="C19" s="43" t="s">
        <v>294</v>
      </c>
      <c r="D19" s="1282">
        <f>52*Belarus</f>
        <v>52</v>
      </c>
      <c r="E19" s="767" t="s">
        <v>1190</v>
      </c>
      <c r="F19" s="877"/>
      <c r="G19" s="1283" t="s">
        <v>304</v>
      </c>
      <c r="H19" s="1283"/>
      <c r="I19" s="1283"/>
      <c r="J19" s="1283"/>
      <c r="K19" s="1283"/>
    </row>
    <row r="20" spans="1:13" s="653" customFormat="1">
      <c r="A20" s="1280"/>
      <c r="B20" s="43">
        <v>6005</v>
      </c>
      <c r="C20" s="43" t="s">
        <v>294</v>
      </c>
      <c r="D20" s="1282"/>
      <c r="E20" s="767" t="s">
        <v>1190</v>
      </c>
      <c r="F20" s="877"/>
      <c r="G20" s="1280" t="s">
        <v>289</v>
      </c>
      <c r="H20" s="43" t="s">
        <v>295</v>
      </c>
      <c r="I20" s="43">
        <v>2000</v>
      </c>
      <c r="J20" s="1282">
        <f>41*Belarus</f>
        <v>41</v>
      </c>
      <c r="K20" s="1282" t="s">
        <v>1190</v>
      </c>
    </row>
    <row r="21" spans="1:13" s="653" customFormat="1" ht="12" customHeight="1">
      <c r="A21" s="1280"/>
      <c r="B21" s="1281">
        <v>8017</v>
      </c>
      <c r="C21" s="43">
        <v>700</v>
      </c>
      <c r="D21" s="1282"/>
      <c r="E21" s="767" t="s">
        <v>1190</v>
      </c>
      <c r="F21" s="877"/>
      <c r="G21" s="1280"/>
      <c r="H21" s="43">
        <v>8017</v>
      </c>
      <c r="I21" s="43">
        <v>2000</v>
      </c>
      <c r="J21" s="1282"/>
      <c r="K21" s="1282"/>
    </row>
    <row r="22" spans="1:13">
      <c r="A22" s="1280"/>
      <c r="B22" s="1281"/>
      <c r="C22" s="43">
        <v>1800</v>
      </c>
      <c r="D22" s="1282"/>
      <c r="E22" s="219">
        <v>60</v>
      </c>
      <c r="F22" s="877"/>
      <c r="G22" s="1200" t="s">
        <v>291</v>
      </c>
      <c r="H22" s="43" t="s">
        <v>302</v>
      </c>
      <c r="I22" s="43">
        <v>2000</v>
      </c>
      <c r="J22" s="1282"/>
      <c r="K22" s="1282"/>
    </row>
    <row r="23" spans="1:13">
      <c r="A23" s="1280" t="s">
        <v>291</v>
      </c>
      <c r="B23" s="43">
        <v>3005</v>
      </c>
      <c r="C23" s="43" t="s">
        <v>290</v>
      </c>
      <c r="D23" s="1282">
        <f>52*Belarus</f>
        <v>52</v>
      </c>
      <c r="E23" s="1285" t="s">
        <v>1190</v>
      </c>
      <c r="F23" s="877"/>
      <c r="G23" s="1200" t="s">
        <v>299</v>
      </c>
      <c r="H23" s="43" t="s">
        <v>297</v>
      </c>
      <c r="I23" s="43">
        <v>2000</v>
      </c>
      <c r="J23" s="1282"/>
      <c r="K23" s="1282"/>
    </row>
    <row r="24" spans="1:13">
      <c r="A24" s="1280"/>
      <c r="B24" s="43">
        <v>6005</v>
      </c>
      <c r="C24" s="43">
        <v>1800</v>
      </c>
      <c r="D24" s="1282"/>
      <c r="E24" s="1285"/>
      <c r="F24" s="877"/>
      <c r="G24" s="1204"/>
      <c r="H24" s="1204"/>
      <c r="I24" s="1204"/>
      <c r="J24" s="1204"/>
      <c r="K24" s="1204"/>
    </row>
    <row r="25" spans="1:13">
      <c r="A25" s="1280" t="s">
        <v>299</v>
      </c>
      <c r="B25" s="44" t="s">
        <v>297</v>
      </c>
      <c r="C25" s="43">
        <v>1800</v>
      </c>
      <c r="D25" s="767">
        <f>75*Belarus</f>
        <v>75</v>
      </c>
      <c r="E25" s="219" t="s">
        <v>1190</v>
      </c>
      <c r="F25" s="877"/>
      <c r="G25" s="1204"/>
      <c r="H25" s="1204"/>
      <c r="I25" s="1204"/>
      <c r="J25" s="1204"/>
      <c r="K25" s="1204"/>
    </row>
    <row r="26" spans="1:13">
      <c r="A26" s="1280"/>
      <c r="B26" s="44" t="s">
        <v>6682</v>
      </c>
      <c r="C26" s="43">
        <v>1500</v>
      </c>
      <c r="D26" s="767" t="s">
        <v>1190</v>
      </c>
      <c r="E26" s="219">
        <v>79</v>
      </c>
      <c r="F26" s="877"/>
      <c r="G26" s="1288" t="s">
        <v>306</v>
      </c>
      <c r="H26" s="1288"/>
      <c r="I26" s="1288"/>
      <c r="J26" s="1288"/>
      <c r="K26" s="1288"/>
    </row>
    <row r="27" spans="1:13">
      <c r="A27" s="1289" t="s">
        <v>6678</v>
      </c>
      <c r="B27" s="1290"/>
      <c r="C27" s="1290"/>
      <c r="D27" s="1290"/>
      <c r="E27" s="1291"/>
      <c r="F27" s="1201"/>
      <c r="G27" s="1288"/>
      <c r="H27" s="1288"/>
      <c r="I27" s="1288"/>
      <c r="J27" s="1288"/>
      <c r="K27" s="1288"/>
    </row>
    <row r="28" spans="1:13">
      <c r="A28" s="1205" t="s">
        <v>6680</v>
      </c>
      <c r="B28" s="1206">
        <v>8017</v>
      </c>
      <c r="C28" s="132">
        <v>1500</v>
      </c>
      <c r="D28" s="767" t="s">
        <v>1190</v>
      </c>
      <c r="E28" s="219">
        <v>60</v>
      </c>
      <c r="F28" s="1201"/>
      <c r="G28" s="1288"/>
      <c r="H28" s="1288"/>
      <c r="I28" s="1288"/>
      <c r="J28" s="1288"/>
      <c r="K28" s="1288"/>
    </row>
    <row r="29" spans="1:13">
      <c r="A29" s="1207" t="s">
        <v>6679</v>
      </c>
      <c r="B29" s="132">
        <v>8017</v>
      </c>
      <c r="C29" s="132">
        <v>1800</v>
      </c>
      <c r="D29" s="767" t="s">
        <v>1190</v>
      </c>
      <c r="E29" s="219">
        <v>62</v>
      </c>
      <c r="F29" s="1201"/>
    </row>
    <row r="30" spans="1:13">
      <c r="A30" s="1205" t="s">
        <v>6681</v>
      </c>
      <c r="B30" s="1206">
        <v>8017</v>
      </c>
      <c r="C30" s="132">
        <v>1500</v>
      </c>
      <c r="D30" s="767" t="s">
        <v>1190</v>
      </c>
      <c r="E30" s="219">
        <v>60</v>
      </c>
      <c r="F30" s="1201"/>
    </row>
    <row r="31" spans="1:13">
      <c r="A31" s="1205" t="s">
        <v>6683</v>
      </c>
      <c r="B31" s="1206" t="s">
        <v>1120</v>
      </c>
      <c r="C31" s="132">
        <v>1800</v>
      </c>
      <c r="D31" s="767" t="s">
        <v>1190</v>
      </c>
      <c r="E31" s="219">
        <v>76</v>
      </c>
      <c r="F31" s="1201"/>
    </row>
    <row r="32" spans="1:13">
      <c r="E32" s="1201"/>
      <c r="F32" s="1201"/>
    </row>
    <row r="34" spans="1:11" ht="18">
      <c r="A34" s="1276" t="s">
        <v>4068</v>
      </c>
      <c r="B34" s="1276"/>
      <c r="C34" s="1276"/>
      <c r="D34" s="1276"/>
      <c r="E34" s="1276"/>
      <c r="F34" s="1276"/>
      <c r="G34" s="1276"/>
      <c r="H34" s="1276"/>
      <c r="I34" s="1276"/>
      <c r="J34" s="1276"/>
      <c r="K34" s="1276"/>
    </row>
    <row r="35" spans="1:11" ht="25.5" customHeight="1">
      <c r="A35" s="1292" t="s">
        <v>307</v>
      </c>
      <c r="B35" s="1292"/>
      <c r="C35" s="1293" t="s">
        <v>4069</v>
      </c>
      <c r="D35" s="1293"/>
      <c r="E35" s="1293"/>
      <c r="F35" s="1201"/>
      <c r="G35" s="1292" t="s">
        <v>307</v>
      </c>
      <c r="H35" s="1292"/>
      <c r="I35" s="1293" t="s">
        <v>4069</v>
      </c>
      <c r="J35" s="1293"/>
      <c r="K35" s="1293"/>
    </row>
    <row r="36" spans="1:11" ht="12.75" customHeight="1">
      <c r="A36" s="1292"/>
      <c r="B36" s="1292"/>
      <c r="C36" s="1293" t="s">
        <v>4070</v>
      </c>
      <c r="D36" s="1293"/>
      <c r="E36" s="1293"/>
      <c r="F36" s="1201"/>
      <c r="G36" s="1292"/>
      <c r="H36" s="1292"/>
      <c r="I36" s="1293" t="s">
        <v>4070</v>
      </c>
      <c r="J36" s="1293"/>
      <c r="K36" s="1293"/>
    </row>
    <row r="37" spans="1:11">
      <c r="A37" s="1292" t="s">
        <v>4071</v>
      </c>
      <c r="B37" s="1292"/>
      <c r="C37" s="1292" t="s">
        <v>359</v>
      </c>
      <c r="D37" s="1292"/>
      <c r="E37" s="1292"/>
      <c r="F37" s="1201"/>
      <c r="G37" s="1292" t="s">
        <v>4071</v>
      </c>
      <c r="H37" s="1292"/>
      <c r="I37" s="1292" t="s">
        <v>359</v>
      </c>
      <c r="J37" s="1292"/>
      <c r="K37" s="1292"/>
    </row>
    <row r="38" spans="1:11">
      <c r="A38" s="1294" t="s">
        <v>4072</v>
      </c>
      <c r="B38" s="1294"/>
      <c r="C38" s="1295">
        <v>421</v>
      </c>
      <c r="D38" s="1295"/>
      <c r="E38" s="1295"/>
      <c r="F38" s="1201"/>
      <c r="G38" s="1296" t="s">
        <v>2490</v>
      </c>
      <c r="H38" s="1296"/>
      <c r="I38" s="1295">
        <v>438</v>
      </c>
      <c r="J38" s="1295"/>
      <c r="K38" s="1295"/>
    </row>
    <row r="39" spans="1:11">
      <c r="A39" s="1294" t="s">
        <v>104</v>
      </c>
      <c r="B39" s="1294"/>
      <c r="C39" s="1295">
        <v>390</v>
      </c>
      <c r="D39" s="1295"/>
      <c r="E39" s="1295"/>
      <c r="F39" s="1201"/>
      <c r="G39" s="1296" t="s">
        <v>2493</v>
      </c>
      <c r="H39" s="1296"/>
      <c r="I39" s="1295">
        <v>447</v>
      </c>
      <c r="J39" s="1295"/>
      <c r="K39" s="1295"/>
    </row>
    <row r="40" spans="1:11">
      <c r="A40" s="1294" t="s">
        <v>186</v>
      </c>
      <c r="B40" s="1294"/>
      <c r="C40" s="1295">
        <v>450</v>
      </c>
      <c r="D40" s="1295"/>
      <c r="E40" s="1295"/>
      <c r="F40" s="1201"/>
      <c r="G40" s="1296" t="s">
        <v>4073</v>
      </c>
      <c r="H40" s="1296"/>
      <c r="I40" s="1295">
        <v>386</v>
      </c>
      <c r="J40" s="1295"/>
      <c r="K40" s="1295"/>
    </row>
    <row r="41" spans="1:11">
      <c r="A41" s="1294" t="s">
        <v>93</v>
      </c>
      <c r="B41" s="1294"/>
      <c r="C41" s="1295">
        <v>382</v>
      </c>
      <c r="D41" s="1295"/>
      <c r="E41" s="1295"/>
      <c r="F41" s="1201"/>
      <c r="G41" s="1292"/>
      <c r="H41" s="1292"/>
      <c r="I41" s="1292" t="s">
        <v>2793</v>
      </c>
      <c r="J41" s="1292"/>
      <c r="K41" s="1292"/>
    </row>
    <row r="42" spans="1:11">
      <c r="A42" s="1294" t="s">
        <v>98</v>
      </c>
      <c r="B42" s="1294"/>
      <c r="C42" s="1295">
        <v>390</v>
      </c>
      <c r="D42" s="1295"/>
      <c r="E42" s="1295"/>
      <c r="F42" s="1201"/>
      <c r="G42" s="1296" t="s">
        <v>411</v>
      </c>
      <c r="H42" s="1296"/>
      <c r="I42" s="1295">
        <v>76</v>
      </c>
      <c r="J42" s="1295"/>
      <c r="K42" s="1295"/>
    </row>
    <row r="43" spans="1:11">
      <c r="A43" s="1294" t="s">
        <v>102</v>
      </c>
      <c r="B43" s="1294"/>
      <c r="C43" s="1295">
        <v>399</v>
      </c>
      <c r="D43" s="1295"/>
      <c r="E43" s="1295"/>
      <c r="F43" s="1201"/>
      <c r="G43" s="1296" t="s">
        <v>414</v>
      </c>
      <c r="H43" s="1296"/>
      <c r="I43" s="1295">
        <v>79</v>
      </c>
      <c r="J43" s="1295"/>
      <c r="K43" s="1295"/>
    </row>
    <row r="44" spans="1:11">
      <c r="A44" s="1294" t="s">
        <v>110</v>
      </c>
      <c r="B44" s="1294"/>
      <c r="C44" s="1295">
        <v>438</v>
      </c>
      <c r="D44" s="1295"/>
      <c r="E44" s="1295"/>
      <c r="F44" s="1201"/>
      <c r="G44" s="1296" t="s">
        <v>752</v>
      </c>
      <c r="H44" s="1296"/>
      <c r="I44" s="1297" t="s">
        <v>4074</v>
      </c>
      <c r="J44" s="1297"/>
      <c r="K44" s="1297"/>
    </row>
    <row r="45" spans="1:11">
      <c r="A45" s="788" t="s">
        <v>4075</v>
      </c>
      <c r="G45" s="37"/>
      <c r="H45" s="37"/>
      <c r="I45" s="37"/>
      <c r="J45" s="37"/>
      <c r="K45" s="37"/>
    </row>
    <row r="46" spans="1:11">
      <c r="A46" s="788"/>
      <c r="G46" s="37"/>
      <c r="H46" s="37"/>
      <c r="I46" s="37"/>
      <c r="J46" s="37"/>
      <c r="K46" s="37"/>
    </row>
    <row r="47" spans="1:11" ht="18">
      <c r="A47" s="1298" t="s">
        <v>4076</v>
      </c>
      <c r="B47" s="1298"/>
      <c r="C47" s="1298"/>
      <c r="D47" s="1298"/>
      <c r="E47" s="1298"/>
      <c r="F47" s="1298"/>
      <c r="G47" s="1298"/>
      <c r="H47" s="1298"/>
      <c r="I47" s="1298"/>
      <c r="J47" s="1298"/>
      <c r="K47" s="1298"/>
    </row>
    <row r="48" spans="1:11">
      <c r="A48" s="1299" t="s">
        <v>307</v>
      </c>
      <c r="B48" s="1300"/>
      <c r="C48" s="1300"/>
      <c r="D48" s="1300"/>
      <c r="E48" s="1300"/>
      <c r="F48" s="1301"/>
      <c r="G48" s="1302" t="s">
        <v>4077</v>
      </c>
      <c r="H48" s="1302"/>
      <c r="I48" s="1302"/>
      <c r="J48" s="1302"/>
      <c r="K48" s="1302"/>
    </row>
    <row r="49" spans="1:11">
      <c r="A49" s="1303" t="s">
        <v>4078</v>
      </c>
      <c r="B49" s="1304"/>
      <c r="C49" s="1304"/>
      <c r="D49" s="1304"/>
      <c r="E49" s="1304"/>
      <c r="F49" s="1305"/>
      <c r="G49" s="1306">
        <v>9</v>
      </c>
      <c r="H49" s="1306"/>
      <c r="I49" s="1306"/>
      <c r="J49" s="1306"/>
      <c r="K49" s="1306"/>
    </row>
    <row r="51" spans="1:11">
      <c r="A51" s="1" t="s">
        <v>311</v>
      </c>
    </row>
  </sheetData>
  <mergeCells count="84">
    <mergeCell ref="A47:K47"/>
    <mergeCell ref="A48:F48"/>
    <mergeCell ref="G48:K48"/>
    <mergeCell ref="A49:F49"/>
    <mergeCell ref="G49:K49"/>
    <mergeCell ref="A43:B43"/>
    <mergeCell ref="C43:E43"/>
    <mergeCell ref="G43:H43"/>
    <mergeCell ref="I43:K43"/>
    <mergeCell ref="A44:B44"/>
    <mergeCell ref="C44:E44"/>
    <mergeCell ref="G44:H44"/>
    <mergeCell ref="I44:K44"/>
    <mergeCell ref="A41:B41"/>
    <mergeCell ref="C41:E41"/>
    <mergeCell ref="G41:H41"/>
    <mergeCell ref="I41:K41"/>
    <mergeCell ref="A42:B42"/>
    <mergeCell ref="C42:E42"/>
    <mergeCell ref="G42:H42"/>
    <mergeCell ref="I42:K42"/>
    <mergeCell ref="A39:B39"/>
    <mergeCell ref="C39:E39"/>
    <mergeCell ref="G39:H39"/>
    <mergeCell ref="I39:K39"/>
    <mergeCell ref="A40:B40"/>
    <mergeCell ref="C40:E40"/>
    <mergeCell ref="G40:H40"/>
    <mergeCell ref="I40:K40"/>
    <mergeCell ref="A37:B37"/>
    <mergeCell ref="C37:E37"/>
    <mergeCell ref="G37:H37"/>
    <mergeCell ref="I37:K37"/>
    <mergeCell ref="A38:B38"/>
    <mergeCell ref="C38:E38"/>
    <mergeCell ref="G38:H38"/>
    <mergeCell ref="I38:K38"/>
    <mergeCell ref="A25:A26"/>
    <mergeCell ref="G26:K28"/>
    <mergeCell ref="A27:E27"/>
    <mergeCell ref="A34:K34"/>
    <mergeCell ref="A35:B36"/>
    <mergeCell ref="C35:E35"/>
    <mergeCell ref="G35:H36"/>
    <mergeCell ref="I35:K35"/>
    <mergeCell ref="C36:E36"/>
    <mergeCell ref="I36:K36"/>
    <mergeCell ref="A19:A22"/>
    <mergeCell ref="D19:D22"/>
    <mergeCell ref="G19:K19"/>
    <mergeCell ref="G20:G21"/>
    <mergeCell ref="J20:J23"/>
    <mergeCell ref="K20:K23"/>
    <mergeCell ref="B21:B22"/>
    <mergeCell ref="A23:A24"/>
    <mergeCell ref="D23:D24"/>
    <mergeCell ref="E23:E24"/>
    <mergeCell ref="G15:K15"/>
    <mergeCell ref="A16:A17"/>
    <mergeCell ref="J16:J18"/>
    <mergeCell ref="G17:G18"/>
    <mergeCell ref="K17:K18"/>
    <mergeCell ref="A18:E18"/>
    <mergeCell ref="A14:A15"/>
    <mergeCell ref="J5:K5"/>
    <mergeCell ref="A7:E7"/>
    <mergeCell ref="G7:K7"/>
    <mergeCell ref="A8:A13"/>
    <mergeCell ref="B8:B9"/>
    <mergeCell ref="D8:D13"/>
    <mergeCell ref="B10:B11"/>
    <mergeCell ref="G10:K10"/>
    <mergeCell ref="B12:B13"/>
    <mergeCell ref="G13:K13"/>
    <mergeCell ref="A1:K1"/>
    <mergeCell ref="A2:K2"/>
    <mergeCell ref="A4:K4"/>
    <mergeCell ref="A5:A6"/>
    <mergeCell ref="B5:B6"/>
    <mergeCell ref="C5:C6"/>
    <mergeCell ref="D5:E5"/>
    <mergeCell ref="G5:G6"/>
    <mergeCell ref="H5:H6"/>
    <mergeCell ref="I5:I6"/>
  </mergeCells>
  <printOptions horizontalCentered="1"/>
  <pageMargins left="0" right="0" top="0.47244094488188981" bottom="0" header="0" footer="0"/>
  <pageSetup paperSize="9" scale="74" orientation="landscape" horizontalDpi="300" verticalDpi="300" r:id="rId1"/>
  <headerFooter scaleWithDoc="0">
    <oddHeader>&amp;L&amp;G&amp;R&amp;5Центр поддержки клиентов Grand Line: +7 (495) 748-38-38 
cайт: www.grandline.ru</oddHeader>
    <oddFooter xml:space="preserve">&amp;R&amp;5Страница 2 </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pageSetUpPr fitToPage="1"/>
  </sheetPr>
  <dimension ref="A1:M65"/>
  <sheetViews>
    <sheetView zoomScale="70" zoomScaleNormal="70" workbookViewId="0">
      <selection sqref="A1:D1"/>
    </sheetView>
  </sheetViews>
  <sheetFormatPr defaultRowHeight="12.75" customHeight="1"/>
  <cols>
    <col min="1" max="1" width="14.85546875" style="46" customWidth="1"/>
    <col min="2" max="2" width="62.7109375" style="389" customWidth="1"/>
    <col min="3" max="3" width="26.140625" style="389" customWidth="1"/>
    <col min="4" max="4" width="20" style="389" customWidth="1"/>
    <col min="5" max="5" width="39.5703125" style="317" customWidth="1"/>
    <col min="6" max="6" width="21.5703125" style="46" customWidth="1"/>
    <col min="7" max="7" width="3.85546875" style="46" customWidth="1"/>
    <col min="8" max="8" width="14.140625" style="46" customWidth="1"/>
    <col min="9" max="9" width="84" style="46" customWidth="1"/>
    <col min="10" max="10" width="19.42578125" style="46" customWidth="1"/>
    <col min="11" max="11" width="12.7109375" style="46" customWidth="1"/>
    <col min="12" max="12" width="38.140625" style="46" customWidth="1"/>
    <col min="13" max="13" width="19.5703125" style="46" customWidth="1"/>
    <col min="14" max="16384" width="9.140625" style="46"/>
  </cols>
  <sheetData>
    <row r="1" spans="1:13">
      <c r="A1" s="1666" t="s">
        <v>312</v>
      </c>
      <c r="B1" s="1666"/>
      <c r="C1" s="1666"/>
      <c r="D1" s="1666"/>
    </row>
    <row r="2" spans="1:13" s="54" customFormat="1" ht="18" customHeight="1" thickBot="1">
      <c r="A2" s="2162" t="s">
        <v>129</v>
      </c>
      <c r="B2" s="2162"/>
      <c r="C2" s="2162"/>
      <c r="D2" s="2162"/>
      <c r="E2" s="2162"/>
      <c r="F2" s="2162"/>
      <c r="G2" s="2162"/>
      <c r="H2" s="2162"/>
      <c r="I2" s="2162"/>
      <c r="J2" s="2162"/>
      <c r="K2" s="2162"/>
      <c r="L2" s="752" t="s">
        <v>313</v>
      </c>
      <c r="M2" s="770">
        <v>43252</v>
      </c>
    </row>
    <row r="3" spans="1:13" ht="12.75" customHeight="1">
      <c r="A3" s="52"/>
      <c r="B3" s="374"/>
      <c r="C3" s="374"/>
      <c r="D3" s="374"/>
      <c r="L3" s="8" t="s">
        <v>1694</v>
      </c>
      <c r="M3" s="152">
        <v>43252</v>
      </c>
    </row>
    <row r="4" spans="1:13" ht="29.25" customHeight="1">
      <c r="A4" s="2163" t="s">
        <v>307</v>
      </c>
      <c r="B4" s="2164"/>
      <c r="C4" s="375" t="s">
        <v>1695</v>
      </c>
      <c r="D4" s="375" t="s">
        <v>1696</v>
      </c>
      <c r="E4" s="376" t="s">
        <v>284</v>
      </c>
      <c r="F4" s="375" t="s">
        <v>1697</v>
      </c>
      <c r="H4" s="2163" t="s">
        <v>307</v>
      </c>
      <c r="I4" s="2164"/>
      <c r="J4" s="375" t="s">
        <v>1695</v>
      </c>
      <c r="K4" s="375" t="s">
        <v>1696</v>
      </c>
      <c r="L4" s="376" t="s">
        <v>284</v>
      </c>
      <c r="M4" s="375" t="s">
        <v>1697</v>
      </c>
    </row>
    <row r="5" spans="1:13" ht="14.25" customHeight="1">
      <c r="A5" s="2129" t="s">
        <v>1224</v>
      </c>
      <c r="B5" s="2129"/>
      <c r="C5" s="2129"/>
      <c r="D5" s="2129"/>
      <c r="E5" s="2129"/>
      <c r="F5" s="2129"/>
      <c r="H5" s="2129" t="s">
        <v>1698</v>
      </c>
      <c r="I5" s="2129"/>
      <c r="J5" s="2129"/>
      <c r="K5" s="2129"/>
      <c r="L5" s="2129"/>
      <c r="M5" s="2129"/>
    </row>
    <row r="6" spans="1:13" ht="41.25" customHeight="1">
      <c r="A6" s="1618"/>
      <c r="B6" s="2128" t="s">
        <v>1699</v>
      </c>
      <c r="C6" s="2120" t="s">
        <v>1700</v>
      </c>
      <c r="D6" s="2120" t="s">
        <v>1701</v>
      </c>
      <c r="E6" s="379" t="s">
        <v>1702</v>
      </c>
      <c r="F6" s="339">
        <f>ROUND(1390*Belarus*(1-C63),2)</f>
        <v>1390</v>
      </c>
      <c r="H6" s="1618"/>
      <c r="I6" s="380" t="s">
        <v>1703</v>
      </c>
      <c r="J6" s="2122" t="s">
        <v>1704</v>
      </c>
      <c r="K6" s="2123"/>
      <c r="L6" s="379" t="s">
        <v>1705</v>
      </c>
      <c r="M6" s="339" t="str">
        <f>ROUND(14500*Belarus*(1-C65),2)&amp;"  - Comfort"</f>
        <v>14500  - Comfort</v>
      </c>
    </row>
    <row r="7" spans="1:13" ht="32.25" customHeight="1">
      <c r="A7" s="1618"/>
      <c r="B7" s="2128"/>
      <c r="C7" s="2120"/>
      <c r="D7" s="2120"/>
      <c r="E7" s="379" t="s">
        <v>1706</v>
      </c>
      <c r="F7" s="339">
        <f>ROUND(2200*Belarus*(1-C63),2)</f>
        <v>2200</v>
      </c>
      <c r="H7" s="1618"/>
      <c r="I7" s="380" t="s">
        <v>1707</v>
      </c>
      <c r="J7" s="2126"/>
      <c r="K7" s="2127"/>
      <c r="L7" s="379" t="s">
        <v>1708</v>
      </c>
      <c r="M7" s="339" t="str">
        <f>ROUND(18000*Belarus*(1-C65),2)&amp;"  - Comfort"</f>
        <v>18000  - Comfort</v>
      </c>
    </row>
    <row r="8" spans="1:13" ht="17.25" customHeight="1">
      <c r="A8" s="1618"/>
      <c r="B8" s="2128" t="s">
        <v>1709</v>
      </c>
      <c r="C8" s="2120" t="s">
        <v>1710</v>
      </c>
      <c r="D8" s="2120" t="s">
        <v>1701</v>
      </c>
      <c r="E8" s="2146" t="s">
        <v>1711</v>
      </c>
      <c r="F8" s="2017">
        <f>ROUND(1250*Belarus*(1-C63),2)</f>
        <v>1250</v>
      </c>
      <c r="H8" s="2129" t="s">
        <v>1712</v>
      </c>
      <c r="I8" s="2129"/>
      <c r="J8" s="2129"/>
      <c r="K8" s="2129"/>
      <c r="L8" s="2129"/>
      <c r="M8" s="2129"/>
    </row>
    <row r="9" spans="1:13" ht="27" customHeight="1">
      <c r="A9" s="1618"/>
      <c r="B9" s="2128"/>
      <c r="C9" s="2120"/>
      <c r="D9" s="2120"/>
      <c r="E9" s="2147"/>
      <c r="F9" s="2018"/>
      <c r="H9" s="1907"/>
      <c r="I9" s="380" t="s">
        <v>3551</v>
      </c>
      <c r="J9" s="2088" t="s">
        <v>1713</v>
      </c>
      <c r="K9" s="2089"/>
      <c r="L9" s="379" t="s">
        <v>1714</v>
      </c>
      <c r="M9" s="339" t="str">
        <f>ROUND(7000*Belarus*(1-C65),2)&amp;"  - Comfort"</f>
        <v>7000  - Comfort</v>
      </c>
    </row>
    <row r="10" spans="1:13" ht="20.25" customHeight="1">
      <c r="A10" s="1618"/>
      <c r="B10" s="2128"/>
      <c r="C10" s="2120"/>
      <c r="D10" s="2120"/>
      <c r="E10" s="379" t="s">
        <v>1715</v>
      </c>
      <c r="F10" s="339">
        <f>ROUND(1650*Belarus*(1-C63),2)</f>
        <v>1650</v>
      </c>
      <c r="H10" s="1909"/>
      <c r="I10" s="380" t="s">
        <v>3552</v>
      </c>
      <c r="J10" s="2088" t="s">
        <v>1716</v>
      </c>
      <c r="K10" s="2089"/>
      <c r="L10" s="379" t="s">
        <v>1714</v>
      </c>
      <c r="M10" s="339" t="str">
        <f>ROUND(6500*Belarus*(1-C65),2)&amp;"  - Comfort"</f>
        <v>6500  - Comfort</v>
      </c>
    </row>
    <row r="11" spans="1:13" ht="43.5" customHeight="1">
      <c r="A11" s="132"/>
      <c r="B11" s="341" t="s">
        <v>3553</v>
      </c>
      <c r="C11" s="378" t="s">
        <v>1710</v>
      </c>
      <c r="D11" s="378" t="s">
        <v>1701</v>
      </c>
      <c r="E11" s="379" t="s">
        <v>1717</v>
      </c>
      <c r="F11" s="339" t="str">
        <f>ROUND(2700*Belarus*(1-C65),2)&amp;"  - Comfort"</f>
        <v>2700  - Comfort</v>
      </c>
      <c r="H11" s="2129" t="s">
        <v>1718</v>
      </c>
      <c r="I11" s="2129"/>
      <c r="J11" s="2129"/>
      <c r="K11" s="2129"/>
      <c r="L11" s="2129"/>
      <c r="M11" s="2129"/>
    </row>
    <row r="12" spans="1:13" ht="27.75" customHeight="1">
      <c r="A12" s="1618"/>
      <c r="B12" s="2119" t="s">
        <v>1719</v>
      </c>
      <c r="C12" s="2148" t="s">
        <v>1720</v>
      </c>
      <c r="D12" s="2148" t="s">
        <v>1721</v>
      </c>
      <c r="E12" s="379" t="s">
        <v>1722</v>
      </c>
      <c r="F12" s="339">
        <f>ROUND(2600*Belarus*(1-C63),2)</f>
        <v>2600</v>
      </c>
      <c r="H12" s="1618"/>
      <c r="I12" s="2119" t="s">
        <v>1723</v>
      </c>
      <c r="J12" s="2122" t="s">
        <v>1704</v>
      </c>
      <c r="K12" s="2123"/>
      <c r="L12" s="1581" t="s">
        <v>1724</v>
      </c>
      <c r="M12" s="1752">
        <f>ROUND(1500*Belarus*(1-C63),2)</f>
        <v>1500</v>
      </c>
    </row>
    <row r="13" spans="1:13" ht="19.5" customHeight="1">
      <c r="A13" s="1618"/>
      <c r="B13" s="2119"/>
      <c r="C13" s="2148"/>
      <c r="D13" s="2148"/>
      <c r="E13" s="379" t="s">
        <v>1725</v>
      </c>
      <c r="F13" s="339">
        <f>ROUND(4000*Belarus*(1-C63),2)</f>
        <v>4000</v>
      </c>
      <c r="H13" s="1618"/>
      <c r="I13" s="2119"/>
      <c r="J13" s="2124"/>
      <c r="K13" s="2125"/>
      <c r="L13" s="1581"/>
      <c r="M13" s="1752"/>
    </row>
    <row r="14" spans="1:13" ht="41.25" customHeight="1">
      <c r="A14" s="1618"/>
      <c r="B14" s="2119"/>
      <c r="C14" s="2148"/>
      <c r="D14" s="2148"/>
      <c r="E14" s="379" t="s">
        <v>1726</v>
      </c>
      <c r="F14" s="339">
        <f>ROUND(4000*Belarus*(1-C63),2)</f>
        <v>4000</v>
      </c>
      <c r="H14" s="132"/>
      <c r="I14" s="380" t="s">
        <v>1727</v>
      </c>
      <c r="J14" s="2126"/>
      <c r="K14" s="2127"/>
      <c r="L14" s="379" t="s">
        <v>3554</v>
      </c>
      <c r="M14" s="339">
        <f>ROUND(2500*Belarus*(1-C63),2)</f>
        <v>2500</v>
      </c>
    </row>
    <row r="15" spans="1:13" ht="20.25" customHeight="1">
      <c r="A15" s="1618"/>
      <c r="B15" s="2119" t="s">
        <v>1728</v>
      </c>
      <c r="C15" s="2148" t="s">
        <v>1729</v>
      </c>
      <c r="D15" s="2148" t="s">
        <v>1730</v>
      </c>
      <c r="E15" s="379" t="s">
        <v>1731</v>
      </c>
      <c r="F15" s="339">
        <f>ROUND(900*Belarus*(1-C63),2)</f>
        <v>900</v>
      </c>
      <c r="H15" s="1907"/>
      <c r="I15" s="2149" t="s">
        <v>1732</v>
      </c>
      <c r="J15" s="2122" t="s">
        <v>1733</v>
      </c>
      <c r="K15" s="2123"/>
      <c r="L15" s="2146" t="s">
        <v>1734</v>
      </c>
      <c r="M15" s="2017">
        <f>ROUND(4000*Belarus*(1-C63),2)</f>
        <v>4000</v>
      </c>
    </row>
    <row r="16" spans="1:13" ht="21.75" customHeight="1">
      <c r="A16" s="1618"/>
      <c r="B16" s="2119"/>
      <c r="C16" s="2148"/>
      <c r="D16" s="2148"/>
      <c r="E16" s="379" t="s">
        <v>1735</v>
      </c>
      <c r="F16" s="339">
        <f>ROUND(1400*Belarus*(1-C63),2)</f>
        <v>1400</v>
      </c>
      <c r="H16" s="1909"/>
      <c r="I16" s="2150"/>
      <c r="J16" s="2126"/>
      <c r="K16" s="2127"/>
      <c r="L16" s="2147"/>
      <c r="M16" s="2018"/>
    </row>
    <row r="17" spans="1:13" ht="15.75" customHeight="1">
      <c r="A17" s="1618"/>
      <c r="B17" s="2119"/>
      <c r="C17" s="2148"/>
      <c r="D17" s="2148"/>
      <c r="E17" s="379" t="s">
        <v>1736</v>
      </c>
      <c r="F17" s="339">
        <f>ROUND(1200*Belarus*(1-C63),2)</f>
        <v>1200</v>
      </c>
      <c r="H17" s="2161" t="s">
        <v>1737</v>
      </c>
      <c r="I17" s="2161"/>
      <c r="J17" s="2161"/>
      <c r="K17" s="2161"/>
      <c r="L17" s="2161"/>
      <c r="M17" s="2161"/>
    </row>
    <row r="18" spans="1:13" ht="54" customHeight="1">
      <c r="A18" s="287"/>
      <c r="B18" s="380" t="s">
        <v>1738</v>
      </c>
      <c r="C18" s="183" t="s">
        <v>1739</v>
      </c>
      <c r="D18" s="183" t="s">
        <v>1721</v>
      </c>
      <c r="E18" s="379" t="s">
        <v>1740</v>
      </c>
      <c r="F18" s="339" t="str">
        <f>ROUND(9500*Belarus*(1-C65),2)&amp;"  - Comfort"</f>
        <v>9500  - Comfort</v>
      </c>
      <c r="H18" s="1618"/>
      <c r="I18" s="380" t="s">
        <v>1741</v>
      </c>
      <c r="J18" s="2088" t="s">
        <v>369</v>
      </c>
      <c r="K18" s="2089"/>
      <c r="L18" s="379" t="s">
        <v>1742</v>
      </c>
      <c r="M18" s="339" t="str">
        <f>ROUND(3500*Belarus*(1-C65),2)&amp;"  - Comfort"</f>
        <v>3500  - Comfort</v>
      </c>
    </row>
    <row r="19" spans="1:13" ht="47.25" customHeight="1">
      <c r="A19" s="287"/>
      <c r="B19" s="380" t="s">
        <v>1743</v>
      </c>
      <c r="C19" s="183" t="s">
        <v>1744</v>
      </c>
      <c r="D19" s="183" t="s">
        <v>1721</v>
      </c>
      <c r="E19" s="379" t="s">
        <v>1740</v>
      </c>
      <c r="F19" s="339" t="str">
        <f>ROUND(9500*Belarus*(1-C65),2)&amp;"  - Comfort"</f>
        <v>9500  - Comfort</v>
      </c>
      <c r="H19" s="1618"/>
      <c r="I19" s="380" t="s">
        <v>1745</v>
      </c>
      <c r="J19" s="2088" t="s">
        <v>369</v>
      </c>
      <c r="K19" s="2089"/>
      <c r="L19" s="379" t="s">
        <v>1742</v>
      </c>
      <c r="M19" s="339" t="str">
        <f>ROUND(5000*Belarus*(1-C65),2)&amp;"  - Comfort"</f>
        <v>5000  - Comfort</v>
      </c>
    </row>
    <row r="20" spans="1:13" ht="42.75" customHeight="1">
      <c r="A20" s="287"/>
      <c r="B20" s="380" t="s">
        <v>1746</v>
      </c>
      <c r="C20" s="183" t="s">
        <v>1710</v>
      </c>
      <c r="D20" s="183" t="s">
        <v>1701</v>
      </c>
      <c r="E20" s="379" t="s">
        <v>1740</v>
      </c>
      <c r="F20" s="339" t="str">
        <f>ROUND(5500*Belarus*(1-C65),2)&amp;"  - Comfort"</f>
        <v>5500  - Comfort</v>
      </c>
      <c r="H20" s="2129" t="s">
        <v>1747</v>
      </c>
      <c r="I20" s="2129"/>
      <c r="J20" s="2129"/>
      <c r="K20" s="2129"/>
      <c r="L20" s="2129"/>
      <c r="M20" s="2129"/>
    </row>
    <row r="21" spans="1:13" ht="50.25" customHeight="1">
      <c r="A21" s="287"/>
      <c r="B21" s="813" t="s">
        <v>3788</v>
      </c>
      <c r="C21" s="183" t="s">
        <v>1748</v>
      </c>
      <c r="D21" s="183" t="s">
        <v>3789</v>
      </c>
      <c r="E21" s="379" t="s">
        <v>1749</v>
      </c>
      <c r="F21" s="339" t="str">
        <f>ROUND(3600*Belarus*(1-C62),2)&amp;"  - Comfort"</f>
        <v>3600  - Comfort</v>
      </c>
      <c r="H21" s="1618"/>
      <c r="I21" s="380" t="s">
        <v>1750</v>
      </c>
      <c r="J21" s="183" t="s">
        <v>1751</v>
      </c>
      <c r="K21" s="183" t="s">
        <v>1701</v>
      </c>
      <c r="L21" s="379" t="s">
        <v>1724</v>
      </c>
      <c r="M21" s="339" t="str">
        <f>ROUND(5500*Belarus*(1-C65),2)&amp;"  - Comfort"</f>
        <v>5500  - Comfort</v>
      </c>
    </row>
    <row r="22" spans="1:13" ht="42.75" customHeight="1">
      <c r="A22" s="1618"/>
      <c r="B22" s="2155" t="s">
        <v>6493</v>
      </c>
      <c r="C22" s="1581" t="s">
        <v>1752</v>
      </c>
      <c r="D22" s="1581" t="s">
        <v>1721</v>
      </c>
      <c r="E22" s="1581" t="s">
        <v>1358</v>
      </c>
      <c r="F22" s="1752" t="str">
        <f>ROUND(4900*Belarus*(1-C65),2)&amp;"  - Comfort"</f>
        <v>4900  - Comfort</v>
      </c>
      <c r="H22" s="1618"/>
      <c r="I22" s="380" t="s">
        <v>1753</v>
      </c>
      <c r="J22" s="183" t="s">
        <v>1754</v>
      </c>
      <c r="K22" s="183" t="s">
        <v>1701</v>
      </c>
      <c r="L22" s="379" t="s">
        <v>1724</v>
      </c>
      <c r="M22" s="339" t="str">
        <f>ROUND(7700*Belarus*(1-C65),2)&amp;"  - Comfort"</f>
        <v>7700  - Comfort</v>
      </c>
    </row>
    <row r="23" spans="1:13" ht="40.5" customHeight="1">
      <c r="A23" s="1618"/>
      <c r="B23" s="2155"/>
      <c r="C23" s="1581"/>
      <c r="D23" s="1581"/>
      <c r="E23" s="1581"/>
      <c r="F23" s="1752"/>
      <c r="H23" s="1907"/>
      <c r="I23" s="813" t="s">
        <v>3790</v>
      </c>
      <c r="J23" s="2148" t="s">
        <v>1761</v>
      </c>
      <c r="K23" s="2123" t="s">
        <v>1701</v>
      </c>
      <c r="L23" s="379" t="s">
        <v>1724</v>
      </c>
      <c r="M23" s="339" t="str">
        <f>ROUND(13000*Belarus*(1-C65),2)&amp;"  - Comfort"</f>
        <v>13000  - Comfort</v>
      </c>
    </row>
    <row r="24" spans="1:13" ht="41.25" customHeight="1">
      <c r="A24" s="1618"/>
      <c r="B24" s="2155" t="s">
        <v>6494</v>
      </c>
      <c r="C24" s="1581" t="s">
        <v>6495</v>
      </c>
      <c r="D24" s="1581" t="s">
        <v>1721</v>
      </c>
      <c r="E24" s="379" t="s">
        <v>6496</v>
      </c>
      <c r="F24" s="339" t="str">
        <f>ROUND(5500*Belarus*(1-C65),2)&amp;"  - Comfort"</f>
        <v>5500  - Comfort</v>
      </c>
      <c r="H24" s="1909"/>
      <c r="I24" s="813" t="s">
        <v>3791</v>
      </c>
      <c r="J24" s="2148"/>
      <c r="K24" s="2127"/>
      <c r="L24" s="379" t="s">
        <v>1724</v>
      </c>
      <c r="M24" s="339" t="str">
        <f>ROUND(15000*Belarus*(1-C65),2)&amp;"  - Comfort"</f>
        <v>15000  - Comfort</v>
      </c>
    </row>
    <row r="25" spans="1:13" ht="30.75" customHeight="1">
      <c r="A25" s="1618"/>
      <c r="B25" s="2155"/>
      <c r="C25" s="1581"/>
      <c r="D25" s="1581"/>
      <c r="E25" s="379" t="s">
        <v>6497</v>
      </c>
      <c r="F25" s="339" t="str">
        <f>ROUND(7000*Belarus*(1-C65),2)&amp;"  - Comfort"</f>
        <v>7000  - Comfort</v>
      </c>
      <c r="H25" s="1618"/>
      <c r="I25" s="380" t="s">
        <v>1756</v>
      </c>
      <c r="J25" s="183" t="s">
        <v>1751</v>
      </c>
      <c r="K25" s="183" t="s">
        <v>1701</v>
      </c>
      <c r="L25" s="379" t="s">
        <v>1734</v>
      </c>
      <c r="M25" s="339" t="str">
        <f>ROUND(5500*Belarus*(1-C65),2)&amp;"  - Comfort"</f>
        <v>5500  - Comfort</v>
      </c>
    </row>
    <row r="26" spans="1:13" ht="27.75" customHeight="1">
      <c r="A26" s="2156" t="s">
        <v>1755</v>
      </c>
      <c r="B26" s="2156"/>
      <c r="C26" s="2156"/>
      <c r="D26" s="2156"/>
      <c r="E26" s="2156"/>
      <c r="F26" s="2156"/>
      <c r="H26" s="1618"/>
      <c r="I26" s="380" t="s">
        <v>1759</v>
      </c>
      <c r="J26" s="183" t="s">
        <v>1754</v>
      </c>
      <c r="K26" s="183" t="s">
        <v>1701</v>
      </c>
      <c r="L26" s="379" t="s">
        <v>1734</v>
      </c>
      <c r="M26" s="339" t="str">
        <f>ROUND(6600*Belarus*(1-C65),2)&amp;"  - Comfort"</f>
        <v>6600  - Comfort</v>
      </c>
    </row>
    <row r="27" spans="1:13" ht="39.75" customHeight="1">
      <c r="A27" s="1103"/>
      <c r="B27" s="2157" t="s">
        <v>1757</v>
      </c>
      <c r="C27" s="2159" t="s">
        <v>1700</v>
      </c>
      <c r="D27" s="2159" t="s">
        <v>1721</v>
      </c>
      <c r="E27" s="379" t="s">
        <v>1758</v>
      </c>
      <c r="F27" s="339">
        <f>ROUND(2250*Belarus*(1-C63),2)</f>
        <v>2250</v>
      </c>
      <c r="H27" s="1618"/>
      <c r="I27" s="380" t="s">
        <v>1762</v>
      </c>
      <c r="J27" s="2148" t="s">
        <v>1761</v>
      </c>
      <c r="K27" s="2123" t="s">
        <v>1701</v>
      </c>
      <c r="L27" s="379" t="s">
        <v>1724</v>
      </c>
      <c r="M27" s="339" t="str">
        <f>ROUND(3500*Belarus*(1-C65),2)&amp;"  - Comfort"</f>
        <v>3500  - Comfort</v>
      </c>
    </row>
    <row r="28" spans="1:13" ht="21" customHeight="1">
      <c r="A28" s="1104"/>
      <c r="B28" s="2158"/>
      <c r="C28" s="2160"/>
      <c r="D28" s="2160"/>
      <c r="E28" s="381" t="s">
        <v>1760</v>
      </c>
      <c r="F28" s="682">
        <f>ROUND(2700*Belarus*(1-C63),2)</f>
        <v>2700</v>
      </c>
      <c r="H28" s="1618"/>
      <c r="I28" s="380" t="s">
        <v>1766</v>
      </c>
      <c r="J28" s="2148"/>
      <c r="K28" s="2127"/>
      <c r="L28" s="379" t="s">
        <v>1724</v>
      </c>
      <c r="M28" s="339" t="str">
        <f>ROUND(4000*Belarus*(1-C65),2)&amp;"  - Comfort"</f>
        <v>4000  - Comfort</v>
      </c>
    </row>
    <row r="29" spans="1:13" ht="30.75" customHeight="1">
      <c r="A29" s="1618"/>
      <c r="B29" s="2133" t="s">
        <v>1763</v>
      </c>
      <c r="C29" s="1530" t="s">
        <v>1764</v>
      </c>
      <c r="D29" s="2154" t="s">
        <v>1701</v>
      </c>
      <c r="E29" s="103" t="s">
        <v>1765</v>
      </c>
      <c r="F29" s="339">
        <f>ROUND(2100*Belarus*(1-C63),2)</f>
        <v>2100</v>
      </c>
      <c r="H29" s="287"/>
      <c r="I29" s="380" t="s">
        <v>1768</v>
      </c>
      <c r="J29" s="183" t="s">
        <v>1769</v>
      </c>
      <c r="K29" s="183" t="s">
        <v>1701</v>
      </c>
      <c r="L29" s="379" t="s">
        <v>1734</v>
      </c>
      <c r="M29" s="339" t="str">
        <f>ROUND(3500*Belarus*(1-C65),2)&amp;"  - Comfort"</f>
        <v>3500  - Comfort</v>
      </c>
    </row>
    <row r="30" spans="1:13" ht="29.25" customHeight="1">
      <c r="A30" s="1618"/>
      <c r="B30" s="2153"/>
      <c r="C30" s="1530"/>
      <c r="D30" s="2154"/>
      <c r="E30" s="103" t="s">
        <v>1767</v>
      </c>
      <c r="F30" s="339">
        <f>ROUND(2700*Belarus*(1-C63),2)</f>
        <v>2700</v>
      </c>
      <c r="H30" s="2129" t="s">
        <v>1771</v>
      </c>
      <c r="I30" s="2129"/>
      <c r="J30" s="2129"/>
      <c r="K30" s="2129"/>
      <c r="L30" s="2129"/>
      <c r="M30" s="2129"/>
    </row>
    <row r="31" spans="1:13" ht="24" customHeight="1">
      <c r="A31" s="1618"/>
      <c r="B31" s="2134"/>
      <c r="C31" s="1530"/>
      <c r="D31" s="2154"/>
      <c r="E31" s="103" t="s">
        <v>1770</v>
      </c>
      <c r="F31" s="339">
        <f>ROUND(3700*Belarus*(1-C63),2)</f>
        <v>3700</v>
      </c>
      <c r="H31" s="1908"/>
      <c r="I31" s="380" t="s">
        <v>1774</v>
      </c>
      <c r="J31" s="772" t="s">
        <v>1775</v>
      </c>
      <c r="K31" s="772" t="s">
        <v>1701</v>
      </c>
      <c r="L31" s="379" t="s">
        <v>369</v>
      </c>
      <c r="M31" s="339">
        <f>ROUND(2500*Belarus*(1-C63),2)</f>
        <v>2500</v>
      </c>
    </row>
    <row r="32" spans="1:13" ht="19.5" customHeight="1">
      <c r="A32" s="1618"/>
      <c r="B32" s="2119" t="s">
        <v>1772</v>
      </c>
      <c r="C32" s="1581" t="s">
        <v>3555</v>
      </c>
      <c r="D32" s="2148" t="s">
        <v>1721</v>
      </c>
      <c r="E32" s="379" t="s">
        <v>1773</v>
      </c>
      <c r="F32" s="339">
        <f>ROUND(5500*Belarus*(1-C63),2)</f>
        <v>5500</v>
      </c>
      <c r="H32" s="1908"/>
      <c r="I32" s="380" t="s">
        <v>1777</v>
      </c>
      <c r="J32" s="773"/>
      <c r="K32" s="773"/>
      <c r="L32" s="379" t="s">
        <v>369</v>
      </c>
      <c r="M32" s="339">
        <f>ROUND(2900*Belarus*(1-C63),2)</f>
        <v>2900</v>
      </c>
    </row>
    <row r="33" spans="1:13" ht="27" customHeight="1">
      <c r="A33" s="1618"/>
      <c r="B33" s="2119"/>
      <c r="C33" s="1581"/>
      <c r="D33" s="2148"/>
      <c r="E33" s="379" t="s">
        <v>1776</v>
      </c>
      <c r="F33" s="339">
        <f>ROUND(6000*Belarus*(1-C63),2)</f>
        <v>6000</v>
      </c>
      <c r="H33" s="1908"/>
      <c r="I33" s="380" t="s">
        <v>1781</v>
      </c>
      <c r="J33" s="773"/>
      <c r="K33" s="773"/>
      <c r="L33" s="379" t="s">
        <v>369</v>
      </c>
      <c r="M33" s="339">
        <f>ROUND(3700*Belarus*(1-C63),2)</f>
        <v>3700</v>
      </c>
    </row>
    <row r="34" spans="1:13" ht="23.25" customHeight="1">
      <c r="A34" s="1618"/>
      <c r="B34" s="2119" t="s">
        <v>1778</v>
      </c>
      <c r="C34" s="1581" t="s">
        <v>1779</v>
      </c>
      <c r="D34" s="2148" t="s">
        <v>1730</v>
      </c>
      <c r="E34" s="379" t="s">
        <v>1780</v>
      </c>
      <c r="F34" s="339">
        <f>ROUND(1050*Belarus*(1-C63),2)</f>
        <v>1050</v>
      </c>
      <c r="H34" s="1908"/>
      <c r="I34" s="380" t="s">
        <v>1783</v>
      </c>
      <c r="J34" s="774"/>
      <c r="K34" s="774"/>
      <c r="L34" s="379" t="s">
        <v>369</v>
      </c>
      <c r="M34" s="339">
        <f>ROUND(6300*Belarus*(1-C63),2)</f>
        <v>6300</v>
      </c>
    </row>
    <row r="35" spans="1:13" ht="21" customHeight="1">
      <c r="A35" s="1618"/>
      <c r="B35" s="2119"/>
      <c r="C35" s="1581"/>
      <c r="D35" s="2148"/>
      <c r="E35" s="379" t="s">
        <v>1782</v>
      </c>
      <c r="F35" s="339">
        <f>ROUND(1400*Belarus*(1-C63),2)</f>
        <v>1400</v>
      </c>
      <c r="H35" s="1908"/>
      <c r="I35" s="380" t="s">
        <v>1786</v>
      </c>
      <c r="J35" s="2148" t="s">
        <v>1775</v>
      </c>
      <c r="K35" s="2148" t="s">
        <v>1701</v>
      </c>
      <c r="L35" s="379" t="s">
        <v>369</v>
      </c>
      <c r="M35" s="339">
        <f>ROUND(12000*Belarus*(1-C63),2)</f>
        <v>12000</v>
      </c>
    </row>
    <row r="36" spans="1:13" ht="42.75" customHeight="1">
      <c r="A36" s="132"/>
      <c r="B36" s="380" t="s">
        <v>1784</v>
      </c>
      <c r="C36" s="379" t="s">
        <v>3556</v>
      </c>
      <c r="D36" s="183" t="s">
        <v>1701</v>
      </c>
      <c r="E36" s="379" t="s">
        <v>1785</v>
      </c>
      <c r="F36" s="339">
        <f>ROUND(2500*Belarus*(1-C63),2)</f>
        <v>2500</v>
      </c>
      <c r="H36" s="1908"/>
      <c r="I36" s="380" t="s">
        <v>1789</v>
      </c>
      <c r="J36" s="2148"/>
      <c r="K36" s="2148"/>
      <c r="L36" s="379" t="s">
        <v>369</v>
      </c>
      <c r="M36" s="339">
        <f>ROUND(3300*Belarus*(1-C63),2)</f>
        <v>3300</v>
      </c>
    </row>
    <row r="37" spans="1:13" ht="15" customHeight="1">
      <c r="A37" s="1907"/>
      <c r="B37" s="2149" t="s">
        <v>1787</v>
      </c>
      <c r="C37" s="2146" t="s">
        <v>1748</v>
      </c>
      <c r="D37" s="2151" t="s">
        <v>3789</v>
      </c>
      <c r="E37" s="2146" t="s">
        <v>1788</v>
      </c>
      <c r="F37" s="2017">
        <f>ROUND(3800*Belarus*(1-C64),2)</f>
        <v>3800</v>
      </c>
      <c r="H37" s="1909"/>
      <c r="I37" s="380" t="s">
        <v>1791</v>
      </c>
      <c r="J37" s="2148"/>
      <c r="K37" s="2148"/>
      <c r="L37" s="379" t="s">
        <v>369</v>
      </c>
      <c r="M37" s="339">
        <f>ROUND(5500*Belarus*(1-C63),2)</f>
        <v>5500</v>
      </c>
    </row>
    <row r="38" spans="1:13" ht="38.25" customHeight="1">
      <c r="A38" s="1909"/>
      <c r="B38" s="2150"/>
      <c r="C38" s="2147"/>
      <c r="D38" s="2152"/>
      <c r="E38" s="2147"/>
      <c r="F38" s="2018"/>
      <c r="H38" s="2129" t="s">
        <v>1794</v>
      </c>
      <c r="I38" s="2129"/>
      <c r="J38" s="2129"/>
      <c r="K38" s="2129"/>
      <c r="L38" s="2129"/>
      <c r="M38" s="2129"/>
    </row>
    <row r="39" spans="1:13" ht="22.5" customHeight="1">
      <c r="A39" s="2129" t="s">
        <v>1790</v>
      </c>
      <c r="B39" s="2129"/>
      <c r="C39" s="2129"/>
      <c r="D39" s="2129"/>
      <c r="E39" s="2129"/>
      <c r="F39" s="2129"/>
      <c r="H39" s="1907"/>
      <c r="I39" s="2139" t="s">
        <v>1796</v>
      </c>
      <c r="J39" s="2140" t="s">
        <v>1704</v>
      </c>
      <c r="K39" s="2141"/>
      <c r="L39" s="2146" t="s">
        <v>1702</v>
      </c>
      <c r="M39" s="2017">
        <f>ROUND(3600*Belarus*(1-C63),2)</f>
        <v>3600</v>
      </c>
    </row>
    <row r="40" spans="1:13" ht="25.5" customHeight="1">
      <c r="A40" s="1618"/>
      <c r="B40" s="2048" t="s">
        <v>1792</v>
      </c>
      <c r="C40" s="2148" t="s">
        <v>1729</v>
      </c>
      <c r="D40" s="2148" t="s">
        <v>1730</v>
      </c>
      <c r="E40" s="1581" t="s">
        <v>1793</v>
      </c>
      <c r="F40" s="1752">
        <f>ROUND(350*Belarus*(1-C63),2)</f>
        <v>350</v>
      </c>
      <c r="H40" s="1908"/>
      <c r="I40" s="2139"/>
      <c r="J40" s="2142"/>
      <c r="K40" s="2143"/>
      <c r="L40" s="2147"/>
      <c r="M40" s="2018"/>
    </row>
    <row r="41" spans="1:13" ht="18" customHeight="1">
      <c r="A41" s="1618"/>
      <c r="B41" s="2048"/>
      <c r="C41" s="2148"/>
      <c r="D41" s="2148"/>
      <c r="E41" s="1581"/>
      <c r="F41" s="1752"/>
      <c r="H41" s="1908"/>
      <c r="I41" s="2139"/>
      <c r="J41" s="2142"/>
      <c r="K41" s="2143"/>
      <c r="L41" s="379" t="s">
        <v>1799</v>
      </c>
      <c r="M41" s="339">
        <f>ROUND(5000*Belarus*(1-C63),2)</f>
        <v>5000</v>
      </c>
    </row>
    <row r="42" spans="1:13">
      <c r="A42" s="2129" t="s">
        <v>1795</v>
      </c>
      <c r="B42" s="2129"/>
      <c r="C42" s="2129"/>
      <c r="D42" s="2129"/>
      <c r="E42" s="2129"/>
      <c r="F42" s="2129"/>
      <c r="H42" s="1908"/>
      <c r="I42" s="2139"/>
      <c r="J42" s="2142"/>
      <c r="K42" s="2143"/>
      <c r="L42" s="379" t="s">
        <v>1770</v>
      </c>
      <c r="M42" s="339">
        <f>ROUND(5000*Belarus*(1-C63),2)</f>
        <v>5000</v>
      </c>
    </row>
    <row r="43" spans="1:13" ht="40.5" customHeight="1">
      <c r="A43" s="2136"/>
      <c r="B43" s="2128" t="s">
        <v>1797</v>
      </c>
      <c r="C43" s="2120" t="s">
        <v>1704</v>
      </c>
      <c r="D43" s="2120"/>
      <c r="E43" s="379" t="s">
        <v>1798</v>
      </c>
      <c r="F43" s="339">
        <f>ROUND(1200*Belarus*(1-C63),2)</f>
        <v>1200</v>
      </c>
      <c r="H43" s="1908"/>
      <c r="I43" s="1995" t="s">
        <v>1803</v>
      </c>
      <c r="J43" s="2142"/>
      <c r="K43" s="2143"/>
      <c r="L43" s="379" t="s">
        <v>1804</v>
      </c>
      <c r="M43" s="339">
        <f>ROUND(4000*Belarus*(1-C63),2)</f>
        <v>4000</v>
      </c>
    </row>
    <row r="44" spans="1:13" ht="17.25" customHeight="1">
      <c r="A44" s="2137"/>
      <c r="B44" s="2128"/>
      <c r="C44" s="2120"/>
      <c r="D44" s="2120"/>
      <c r="E44" s="379" t="s">
        <v>1800</v>
      </c>
      <c r="F44" s="339">
        <f>ROUND(1800*Belarus*(1-C63),2)</f>
        <v>1800</v>
      </c>
      <c r="H44" s="1908"/>
      <c r="I44" s="2001"/>
      <c r="J44" s="2142"/>
      <c r="K44" s="2143"/>
      <c r="L44" s="379" t="s">
        <v>1807</v>
      </c>
      <c r="M44" s="339">
        <f>ROUND(5400*Belarus*(1-C63),2)</f>
        <v>5400</v>
      </c>
    </row>
    <row r="45" spans="1:13" ht="41.25" customHeight="1">
      <c r="A45" s="2138"/>
      <c r="B45" s="377" t="s">
        <v>1801</v>
      </c>
      <c r="C45" s="2120"/>
      <c r="D45" s="2120"/>
      <c r="E45" s="379" t="s">
        <v>1802</v>
      </c>
      <c r="F45" s="384">
        <f>ROUND(2400*Belarus*(1-C63),2)</f>
        <v>2400</v>
      </c>
      <c r="H45" s="1908"/>
      <c r="I45" s="383" t="s">
        <v>1809</v>
      </c>
      <c r="J45" s="2142"/>
      <c r="K45" s="2143"/>
      <c r="L45" s="379" t="s">
        <v>1810</v>
      </c>
      <c r="M45" s="339">
        <f>ROUND(8200*Belarus*(1-C63),2)</f>
        <v>8200</v>
      </c>
    </row>
    <row r="46" spans="1:13" ht="46.5" customHeight="1">
      <c r="A46" s="2130"/>
      <c r="B46" s="2128" t="s">
        <v>1805</v>
      </c>
      <c r="C46" s="2120" t="s">
        <v>1806</v>
      </c>
      <c r="D46" s="2120"/>
      <c r="E46" s="1581" t="s">
        <v>1798</v>
      </c>
      <c r="F46" s="1752">
        <f>ROUND(600*Belarus*(1-C63),2)</f>
        <v>600</v>
      </c>
      <c r="H46" s="1908"/>
      <c r="I46" s="2133" t="s">
        <v>1813</v>
      </c>
      <c r="J46" s="2142"/>
      <c r="K46" s="2143"/>
      <c r="L46" s="379" t="s">
        <v>1814</v>
      </c>
      <c r="M46" s="339">
        <f>ROUND(8700*Belarus*(1-C63),2)</f>
        <v>8700</v>
      </c>
    </row>
    <row r="47" spans="1:13">
      <c r="A47" s="2131"/>
      <c r="B47" s="2128"/>
      <c r="C47" s="2120"/>
      <c r="D47" s="2120"/>
      <c r="E47" s="1581"/>
      <c r="F47" s="1752"/>
      <c r="H47" s="1909"/>
      <c r="I47" s="2134"/>
      <c r="J47" s="2144"/>
      <c r="K47" s="2145"/>
      <c r="L47" s="379" t="s">
        <v>1760</v>
      </c>
      <c r="M47" s="339">
        <f>ROUND(9200*Belarus*(1-C63),2)</f>
        <v>9200</v>
      </c>
    </row>
    <row r="48" spans="1:13" ht="20.25" customHeight="1">
      <c r="A48" s="2131"/>
      <c r="B48" s="2128"/>
      <c r="C48" s="2120"/>
      <c r="D48" s="2120"/>
      <c r="E48" s="379" t="s">
        <v>1808</v>
      </c>
      <c r="F48" s="339">
        <f>ROUND(1500*Belarus*(1-C63),2)</f>
        <v>1500</v>
      </c>
      <c r="H48" s="2129" t="s">
        <v>1817</v>
      </c>
      <c r="I48" s="2129"/>
      <c r="J48" s="2129"/>
      <c r="K48" s="2129"/>
      <c r="L48" s="2129"/>
      <c r="M48" s="2129"/>
    </row>
    <row r="49" spans="1:13" ht="27" customHeight="1">
      <c r="A49" s="2131"/>
      <c r="B49" s="2135" t="s">
        <v>1811</v>
      </c>
      <c r="C49" s="2120"/>
      <c r="D49" s="2120"/>
      <c r="E49" s="379" t="s">
        <v>1812</v>
      </c>
      <c r="F49" s="339">
        <f>ROUND(950*Belarus*(1-C63),2)</f>
        <v>950</v>
      </c>
      <c r="H49" s="1907"/>
      <c r="I49" s="385" t="s">
        <v>1818</v>
      </c>
      <c r="J49" s="2122" t="s">
        <v>1819</v>
      </c>
      <c r="K49" s="2123"/>
      <c r="L49" s="379" t="s">
        <v>1740</v>
      </c>
      <c r="M49" s="339" t="str">
        <f>ROUND(15000*Belarus*(1-C65),2)&amp;"  - Comfort"</f>
        <v>15000  - Comfort</v>
      </c>
    </row>
    <row r="50" spans="1:13" ht="30.75" customHeight="1">
      <c r="A50" s="2132"/>
      <c r="B50" s="2135"/>
      <c r="C50" s="2120"/>
      <c r="D50" s="2120"/>
      <c r="E50" s="379" t="s">
        <v>1800</v>
      </c>
      <c r="F50" s="339">
        <f>ROUND(1900*Belarus*(1-C63),2)</f>
        <v>1900</v>
      </c>
      <c r="H50" s="1908"/>
      <c r="I50" s="385" t="s">
        <v>1820</v>
      </c>
      <c r="J50" s="2124"/>
      <c r="K50" s="2125"/>
      <c r="L50" s="379" t="s">
        <v>1740</v>
      </c>
      <c r="M50" s="339" t="str">
        <f>ROUND(16000*Belarus*(1-C65),2)&amp;"  - Comfort"</f>
        <v>16000  - Comfort</v>
      </c>
    </row>
    <row r="51" spans="1:13" ht="30.75" customHeight="1">
      <c r="A51" s="1618"/>
      <c r="B51" s="2128" t="s">
        <v>1815</v>
      </c>
      <c r="C51" s="2120" t="s">
        <v>369</v>
      </c>
      <c r="D51" s="2120"/>
      <c r="E51" s="1581" t="s">
        <v>1816</v>
      </c>
      <c r="F51" s="1752">
        <f>ROUND(1700*Belarus*(1-C63),2)</f>
        <v>1700</v>
      </c>
      <c r="H51" s="1908"/>
      <c r="I51" s="385" t="s">
        <v>1822</v>
      </c>
      <c r="J51" s="2124"/>
      <c r="K51" s="2125"/>
      <c r="L51" s="379" t="s">
        <v>1740</v>
      </c>
      <c r="M51" s="339" t="str">
        <f>ROUND(17000*Belarus*(1-C65),2)&amp;"  - Comfort"</f>
        <v>17000  - Comfort</v>
      </c>
    </row>
    <row r="52" spans="1:13" ht="30.75" customHeight="1">
      <c r="A52" s="1618"/>
      <c r="B52" s="2128"/>
      <c r="C52" s="2120"/>
      <c r="D52" s="2120"/>
      <c r="E52" s="1581"/>
      <c r="F52" s="1752"/>
      <c r="H52" s="1908"/>
      <c r="I52" s="385" t="s">
        <v>1824</v>
      </c>
      <c r="J52" s="2124"/>
      <c r="K52" s="2125"/>
      <c r="L52" s="379" t="s">
        <v>1740</v>
      </c>
      <c r="M52" s="339" t="str">
        <f>ROUND(18000*Belarus*(1-C65),2)&amp;"  - Comfort"</f>
        <v>18000  - Comfort</v>
      </c>
    </row>
    <row r="53" spans="1:13" ht="26.25" customHeight="1">
      <c r="A53" s="2129" t="s">
        <v>1223</v>
      </c>
      <c r="B53" s="2129"/>
      <c r="C53" s="2129"/>
      <c r="D53" s="2129"/>
      <c r="E53" s="2129"/>
      <c r="F53" s="2129"/>
      <c r="H53" s="1908"/>
      <c r="I53" s="385" t="s">
        <v>1827</v>
      </c>
      <c r="J53" s="2124"/>
      <c r="K53" s="2125"/>
      <c r="L53" s="379" t="s">
        <v>1740</v>
      </c>
      <c r="M53" s="339" t="str">
        <f>ROUND(19000*Belarus*(1-C65),2)&amp;"  - Comfort"</f>
        <v>19000  - Comfort</v>
      </c>
    </row>
    <row r="54" spans="1:13" ht="35.25" customHeight="1">
      <c r="A54" s="287"/>
      <c r="B54" s="380" t="s">
        <v>1821</v>
      </c>
      <c r="C54" s="2120" t="s">
        <v>369</v>
      </c>
      <c r="D54" s="2120"/>
      <c r="E54" s="379" t="s">
        <v>1734</v>
      </c>
      <c r="F54" s="339">
        <f>ROUND(700*Belarus*(1-C63),2)</f>
        <v>700</v>
      </c>
      <c r="H54" s="1909"/>
      <c r="I54" s="385" t="s">
        <v>1828</v>
      </c>
      <c r="J54" s="2126"/>
      <c r="K54" s="2127"/>
      <c r="L54" s="379" t="s">
        <v>1740</v>
      </c>
      <c r="M54" s="339" t="str">
        <f>ROUND(20000*Belarus*(1-C65),2)&amp;"  - Comfort"</f>
        <v>20000  - Comfort</v>
      </c>
    </row>
    <row r="55" spans="1:13" ht="20.25" customHeight="1">
      <c r="A55" s="1618"/>
      <c r="B55" s="2119" t="s">
        <v>1823</v>
      </c>
      <c r="C55" s="2120" t="s">
        <v>369</v>
      </c>
      <c r="D55" s="2120"/>
      <c r="E55" s="1581" t="s">
        <v>1734</v>
      </c>
      <c r="F55" s="1752" t="str">
        <f>ROUND(1500*Belarus*(1-C65),2)&amp;"  - Comfort"</f>
        <v>1500  - Comfort</v>
      </c>
      <c r="H55" s="1976" t="s">
        <v>420</v>
      </c>
      <c r="I55" s="2121"/>
      <c r="J55" s="2121"/>
      <c r="K55" s="2121"/>
      <c r="L55" s="2121"/>
      <c r="M55" s="2121"/>
    </row>
    <row r="56" spans="1:13" ht="15.75" customHeight="1">
      <c r="A56" s="1618"/>
      <c r="B56" s="2119"/>
      <c r="C56" s="2120"/>
      <c r="D56" s="2120"/>
      <c r="E56" s="1581"/>
      <c r="F56" s="1752"/>
      <c r="H56" s="2112" t="s">
        <v>1829</v>
      </c>
      <c r="I56" s="2113"/>
      <c r="J56" s="2113"/>
      <c r="K56" s="2113"/>
      <c r="L56" s="2113"/>
      <c r="M56" s="2114"/>
    </row>
    <row r="57" spans="1:13" ht="29.25" customHeight="1">
      <c r="A57" s="1618"/>
      <c r="B57" s="2119" t="s">
        <v>1825</v>
      </c>
      <c r="C57" s="2120" t="s">
        <v>1826</v>
      </c>
      <c r="D57" s="2120"/>
      <c r="E57" s="1581" t="s">
        <v>1734</v>
      </c>
      <c r="F57" s="1752">
        <f>ROUND(300*Belarus*(1-C63),2)</f>
        <v>300</v>
      </c>
      <c r="H57" s="2112" t="s">
        <v>1831</v>
      </c>
      <c r="I57" s="2113"/>
      <c r="J57" s="2113"/>
      <c r="K57" s="2113"/>
      <c r="L57" s="2113"/>
      <c r="M57" s="2114"/>
    </row>
    <row r="58" spans="1:13">
      <c r="A58" s="1618"/>
      <c r="B58" s="2119"/>
      <c r="C58" s="2120"/>
      <c r="D58" s="2120"/>
      <c r="E58" s="1581"/>
      <c r="F58" s="1752"/>
      <c r="H58" s="2112" t="s">
        <v>1832</v>
      </c>
      <c r="I58" s="2113"/>
      <c r="J58" s="2113"/>
      <c r="K58" s="2113"/>
      <c r="L58" s="2113"/>
      <c r="M58" s="2114"/>
    </row>
    <row r="59" spans="1:13">
      <c r="H59" s="2112" t="s">
        <v>1833</v>
      </c>
      <c r="I59" s="2113"/>
      <c r="J59" s="2113"/>
      <c r="K59" s="2113"/>
      <c r="L59" s="2113"/>
      <c r="M59" s="2114"/>
    </row>
    <row r="63" spans="1:13" ht="13.5" customHeight="1">
      <c r="A63" s="1339" t="s">
        <v>1835</v>
      </c>
      <c r="B63" s="2115" t="s">
        <v>1836</v>
      </c>
      <c r="C63" s="2117">
        <v>0</v>
      </c>
      <c r="D63" s="317"/>
      <c r="E63" s="46"/>
    </row>
    <row r="64" spans="1:13" ht="13.5" customHeight="1">
      <c r="A64" s="1339"/>
      <c r="B64" s="2116"/>
      <c r="C64" s="2118"/>
      <c r="D64" s="317"/>
      <c r="E64" s="46"/>
    </row>
    <row r="65" spans="1:5" ht="13.5" customHeight="1">
      <c r="A65" s="1339"/>
      <c r="B65" s="39" t="s">
        <v>1837</v>
      </c>
      <c r="C65" s="388">
        <v>0</v>
      </c>
      <c r="D65" s="317"/>
      <c r="E65" s="46"/>
    </row>
  </sheetData>
  <sheetProtection selectLockedCells="1" selectUnlockedCells="1"/>
  <mergeCells count="142">
    <mergeCell ref="A1:D1"/>
    <mergeCell ref="A2:K2"/>
    <mergeCell ref="A4:B4"/>
    <mergeCell ref="H4:I4"/>
    <mergeCell ref="A5:F5"/>
    <mergeCell ref="H5:M5"/>
    <mergeCell ref="A6:A7"/>
    <mergeCell ref="B6:B7"/>
    <mergeCell ref="C6:C7"/>
    <mergeCell ref="D6:D7"/>
    <mergeCell ref="H6:H7"/>
    <mergeCell ref="J6:K7"/>
    <mergeCell ref="A8:A10"/>
    <mergeCell ref="B8:B10"/>
    <mergeCell ref="C8:C10"/>
    <mergeCell ref="D8:D10"/>
    <mergeCell ref="E8:E9"/>
    <mergeCell ref="F8:F9"/>
    <mergeCell ref="H8:M8"/>
    <mergeCell ref="H9:H10"/>
    <mergeCell ref="J9:K9"/>
    <mergeCell ref="J10:K10"/>
    <mergeCell ref="H11:M11"/>
    <mergeCell ref="A12:A14"/>
    <mergeCell ref="B12:B14"/>
    <mergeCell ref="C12:C14"/>
    <mergeCell ref="D12:D14"/>
    <mergeCell ref="H12:H13"/>
    <mergeCell ref="I12:I13"/>
    <mergeCell ref="J12:K14"/>
    <mergeCell ref="L12:L13"/>
    <mergeCell ref="M12:M13"/>
    <mergeCell ref="A15:A17"/>
    <mergeCell ref="B15:B17"/>
    <mergeCell ref="C15:C17"/>
    <mergeCell ref="D15:D17"/>
    <mergeCell ref="H15:H16"/>
    <mergeCell ref="I15:I16"/>
    <mergeCell ref="J15:K16"/>
    <mergeCell ref="L15:L16"/>
    <mergeCell ref="M15:M16"/>
    <mergeCell ref="H17:M17"/>
    <mergeCell ref="H18:H19"/>
    <mergeCell ref="J18:K18"/>
    <mergeCell ref="J19:K19"/>
    <mergeCell ref="H20:M20"/>
    <mergeCell ref="H21:H22"/>
    <mergeCell ref="A22:A23"/>
    <mergeCell ref="B22:B23"/>
    <mergeCell ref="C22:C23"/>
    <mergeCell ref="D22:D23"/>
    <mergeCell ref="E22:E23"/>
    <mergeCell ref="F22:F23"/>
    <mergeCell ref="H23:H24"/>
    <mergeCell ref="J23:J24"/>
    <mergeCell ref="K23:K24"/>
    <mergeCell ref="A24:A25"/>
    <mergeCell ref="B24:B25"/>
    <mergeCell ref="C24:C25"/>
    <mergeCell ref="D24:D25"/>
    <mergeCell ref="H25:H28"/>
    <mergeCell ref="A26:F26"/>
    <mergeCell ref="B27:B28"/>
    <mergeCell ref="C27:C28"/>
    <mergeCell ref="D27:D28"/>
    <mergeCell ref="J27:J28"/>
    <mergeCell ref="K27:K28"/>
    <mergeCell ref="A29:A31"/>
    <mergeCell ref="B29:B31"/>
    <mergeCell ref="C29:C31"/>
    <mergeCell ref="D29:D31"/>
    <mergeCell ref="H30:M30"/>
    <mergeCell ref="H31:H37"/>
    <mergeCell ref="A32:A33"/>
    <mergeCell ref="B32:B33"/>
    <mergeCell ref="C32:C33"/>
    <mergeCell ref="D32:D33"/>
    <mergeCell ref="A34:A35"/>
    <mergeCell ref="B34:B35"/>
    <mergeCell ref="C34:C35"/>
    <mergeCell ref="D34:D35"/>
    <mergeCell ref="J35:J37"/>
    <mergeCell ref="K35:K37"/>
    <mergeCell ref="A37:A38"/>
    <mergeCell ref="B37:B38"/>
    <mergeCell ref="C37:C38"/>
    <mergeCell ref="D37:D38"/>
    <mergeCell ref="E37:E38"/>
    <mergeCell ref="F37:F38"/>
    <mergeCell ref="H38:M38"/>
    <mergeCell ref="A39:F39"/>
    <mergeCell ref="H39:H47"/>
    <mergeCell ref="I39:I42"/>
    <mergeCell ref="J39:K47"/>
    <mergeCell ref="L39:L40"/>
    <mergeCell ref="M39:M40"/>
    <mergeCell ref="A40:A41"/>
    <mergeCell ref="B40:B41"/>
    <mergeCell ref="C40:C41"/>
    <mergeCell ref="D40:D41"/>
    <mergeCell ref="E40:E41"/>
    <mergeCell ref="F40:F41"/>
    <mergeCell ref="A42:F42"/>
    <mergeCell ref="A43:A45"/>
    <mergeCell ref="B43:B44"/>
    <mergeCell ref="C43:D45"/>
    <mergeCell ref="I43:I44"/>
    <mergeCell ref="A46:A50"/>
    <mergeCell ref="B46:B48"/>
    <mergeCell ref="C46:D50"/>
    <mergeCell ref="E46:E47"/>
    <mergeCell ref="F46:F47"/>
    <mergeCell ref="I46:I47"/>
    <mergeCell ref="H48:M48"/>
    <mergeCell ref="B49:B50"/>
    <mergeCell ref="H49:H54"/>
    <mergeCell ref="J49:K54"/>
    <mergeCell ref="A51:A52"/>
    <mergeCell ref="B51:B52"/>
    <mergeCell ref="C51:D52"/>
    <mergeCell ref="E51:E52"/>
    <mergeCell ref="F51:F52"/>
    <mergeCell ref="A53:F53"/>
    <mergeCell ref="C54:D54"/>
    <mergeCell ref="H58:M58"/>
    <mergeCell ref="A55:A56"/>
    <mergeCell ref="B55:B56"/>
    <mergeCell ref="C55:D56"/>
    <mergeCell ref="E55:E56"/>
    <mergeCell ref="F55:F56"/>
    <mergeCell ref="H55:M55"/>
    <mergeCell ref="H56:M56"/>
    <mergeCell ref="H59:M59"/>
    <mergeCell ref="A63:A65"/>
    <mergeCell ref="B63:B64"/>
    <mergeCell ref="C63:C64"/>
    <mergeCell ref="A57:A58"/>
    <mergeCell ref="B57:B58"/>
    <mergeCell ref="C57:D58"/>
    <mergeCell ref="E57:E58"/>
    <mergeCell ref="F57:F58"/>
    <mergeCell ref="H57:M57"/>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34"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20</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O53"/>
  <sheetViews>
    <sheetView zoomScale="70" zoomScaleNormal="70" workbookViewId="0">
      <selection activeCell="A3" sqref="A3:G3"/>
    </sheetView>
  </sheetViews>
  <sheetFormatPr defaultRowHeight="12.75" customHeight="1"/>
  <cols>
    <col min="1" max="1" width="16.28515625" style="46" customWidth="1"/>
    <col min="2" max="2" width="22" style="317" customWidth="1"/>
    <col min="3" max="3" width="16.85546875" style="317" customWidth="1"/>
    <col min="4" max="4" width="17.28515625" style="317" customWidth="1"/>
    <col min="5" max="5" width="23.7109375" style="317" customWidth="1"/>
    <col min="6" max="6" width="33.7109375" style="317" customWidth="1"/>
    <col min="7" max="7" width="11.85546875" style="46" customWidth="1"/>
    <col min="8" max="8" width="2.7109375" style="46" customWidth="1"/>
    <col min="9" max="9" width="39.42578125" style="46" customWidth="1"/>
    <col min="10" max="10" width="27" style="46" customWidth="1"/>
    <col min="11" max="11" width="19" style="46" customWidth="1"/>
    <col min="12" max="12" width="29" style="46" customWidth="1"/>
    <col min="13" max="13" width="25" style="46" customWidth="1"/>
    <col min="14" max="14" width="12.28515625" style="46" customWidth="1"/>
    <col min="15" max="16384" width="9.140625" style="46"/>
  </cols>
  <sheetData>
    <row r="1" spans="1:14">
      <c r="A1" s="1666" t="s">
        <v>312</v>
      </c>
      <c r="B1" s="1666"/>
      <c r="C1" s="1666"/>
      <c r="D1" s="1"/>
      <c r="E1" s="1"/>
      <c r="F1" s="1"/>
      <c r="G1" s="151"/>
    </row>
    <row r="2" spans="1:14" s="54" customFormat="1">
      <c r="A2" s="1"/>
      <c r="B2" s="1"/>
      <c r="C2" s="1"/>
      <c r="D2" s="1"/>
      <c r="E2" s="1"/>
      <c r="F2" s="33"/>
      <c r="G2" s="1"/>
      <c r="H2" s="46"/>
      <c r="M2" s="241" t="s">
        <v>313</v>
      </c>
      <c r="N2" s="937">
        <v>43301</v>
      </c>
    </row>
    <row r="3" spans="1:14" s="54" customFormat="1" ht="15.75" customHeight="1" thickBot="1">
      <c r="A3" s="2162" t="s">
        <v>1838</v>
      </c>
      <c r="B3" s="2162"/>
      <c r="C3" s="2162"/>
      <c r="D3" s="2162"/>
      <c r="E3" s="2162"/>
      <c r="F3" s="2162"/>
      <c r="G3" s="2162"/>
      <c r="H3" s="677"/>
      <c r="I3" s="1273" t="s">
        <v>4343</v>
      </c>
      <c r="J3" s="1273"/>
      <c r="K3" s="1273"/>
      <c r="L3" s="1273"/>
      <c r="M3" s="1273"/>
      <c r="N3" s="1273"/>
    </row>
    <row r="4" spans="1:14" ht="12.75" customHeight="1">
      <c r="A4" s="52"/>
      <c r="B4" s="391"/>
      <c r="C4" s="391"/>
      <c r="D4" s="391"/>
      <c r="E4" s="391"/>
      <c r="G4" s="393">
        <v>42822</v>
      </c>
      <c r="M4" s="392" t="s">
        <v>315</v>
      </c>
      <c r="N4" s="1213">
        <v>43301</v>
      </c>
    </row>
    <row r="5" spans="1:14" ht="45" customHeight="1">
      <c r="A5" s="2163" t="s">
        <v>307</v>
      </c>
      <c r="B5" s="2165"/>
      <c r="C5" s="2165"/>
      <c r="D5" s="324" t="s">
        <v>1696</v>
      </c>
      <c r="E5" s="371" t="s">
        <v>1695</v>
      </c>
      <c r="F5" s="324" t="s">
        <v>1839</v>
      </c>
      <c r="G5" s="394" t="s">
        <v>1840</v>
      </c>
      <c r="I5" s="2163" t="s">
        <v>307</v>
      </c>
      <c r="J5" s="2165"/>
      <c r="K5" s="324" t="s">
        <v>1696</v>
      </c>
      <c r="L5" s="371" t="s">
        <v>1695</v>
      </c>
      <c r="M5" s="324" t="s">
        <v>1839</v>
      </c>
      <c r="N5" s="394" t="s">
        <v>1840</v>
      </c>
    </row>
    <row r="6" spans="1:14" ht="15" customHeight="1">
      <c r="A6" s="2106" t="s">
        <v>1844</v>
      </c>
      <c r="B6" s="2106"/>
      <c r="C6" s="2106"/>
      <c r="D6" s="2106"/>
      <c r="E6" s="2106"/>
      <c r="F6" s="2106"/>
      <c r="G6" s="2106"/>
      <c r="I6" s="2106" t="s">
        <v>1844</v>
      </c>
      <c r="J6" s="2106"/>
      <c r="K6" s="2106"/>
      <c r="L6" s="2106"/>
      <c r="M6" s="2106"/>
      <c r="N6" s="2106"/>
    </row>
    <row r="7" spans="1:14" ht="14.25">
      <c r="A7" s="2166" t="s">
        <v>1845</v>
      </c>
      <c r="B7" s="2167"/>
      <c r="C7" s="2167"/>
      <c r="D7" s="2167"/>
      <c r="E7" s="2168"/>
      <c r="F7" s="2106"/>
      <c r="G7" s="2106"/>
      <c r="I7" s="2106"/>
      <c r="J7" s="2106"/>
      <c r="K7" s="2106"/>
      <c r="L7" s="2106"/>
      <c r="M7" s="2106"/>
      <c r="N7" s="2106"/>
    </row>
    <row r="8" spans="1:14" ht="36" customHeight="1">
      <c r="A8" s="2169" t="s">
        <v>1846</v>
      </c>
      <c r="B8" s="2170"/>
      <c r="C8" s="2170"/>
      <c r="D8" s="183" t="s">
        <v>1730</v>
      </c>
      <c r="E8" s="183" t="s">
        <v>1847</v>
      </c>
      <c r="F8" s="183" t="s">
        <v>4469</v>
      </c>
      <c r="G8" s="907">
        <f>ROUND(980*Belarus*(1-B53),2)</f>
        <v>980</v>
      </c>
      <c r="I8" s="1428" t="s">
        <v>4344</v>
      </c>
      <c r="J8" s="1589"/>
      <c r="K8" s="183" t="s">
        <v>1701</v>
      </c>
      <c r="L8" s="103" t="s">
        <v>4345</v>
      </c>
      <c r="M8" s="103" t="s">
        <v>4346</v>
      </c>
      <c r="N8" s="679">
        <f>ROUND(1793.68*Belarus*(1-E53),2)</f>
        <v>1793.68</v>
      </c>
    </row>
    <row r="9" spans="1:14" ht="36.75" customHeight="1">
      <c r="A9" s="2169" t="s">
        <v>1854</v>
      </c>
      <c r="B9" s="2170"/>
      <c r="C9" s="2170"/>
      <c r="D9" s="183" t="s">
        <v>1701</v>
      </c>
      <c r="E9" s="183" t="s">
        <v>1855</v>
      </c>
      <c r="F9" s="183" t="s">
        <v>4469</v>
      </c>
      <c r="G9" s="907">
        <f>ROUND(1480*Belarus*(1-B53),2)</f>
        <v>1480</v>
      </c>
      <c r="I9" s="1428" t="s">
        <v>4347</v>
      </c>
      <c r="J9" s="1589"/>
      <c r="K9" s="183" t="s">
        <v>1701</v>
      </c>
      <c r="L9" s="103" t="s">
        <v>4470</v>
      </c>
      <c r="M9" s="103" t="s">
        <v>4346</v>
      </c>
      <c r="N9" s="679">
        <f>ROUND(1793.68*Belarus*(1-E53),2)</f>
        <v>1793.68</v>
      </c>
    </row>
    <row r="10" spans="1:14" ht="19.5" customHeight="1">
      <c r="A10" s="2171" t="s">
        <v>1861</v>
      </c>
      <c r="B10" s="2172"/>
      <c r="C10" s="2173"/>
      <c r="D10" s="2151" t="s">
        <v>1701</v>
      </c>
      <c r="E10" s="2151" t="s">
        <v>1862</v>
      </c>
      <c r="F10" s="2151" t="s">
        <v>4471</v>
      </c>
      <c r="G10" s="2177">
        <f>ROUND(1640*Belarus*(1-B53),2)</f>
        <v>1640</v>
      </c>
      <c r="I10" s="2106" t="s">
        <v>1919</v>
      </c>
      <c r="J10" s="2106"/>
      <c r="K10" s="2106"/>
      <c r="L10" s="2106"/>
      <c r="M10" s="2106"/>
      <c r="N10" s="2106"/>
    </row>
    <row r="11" spans="1:14" ht="16.5" customHeight="1">
      <c r="A11" s="2174"/>
      <c r="B11" s="2175"/>
      <c r="C11" s="2176"/>
      <c r="D11" s="2152"/>
      <c r="E11" s="2152"/>
      <c r="F11" s="2152"/>
      <c r="G11" s="2178"/>
      <c r="I11" s="1532" t="s">
        <v>4349</v>
      </c>
      <c r="J11" s="1532"/>
      <c r="K11" s="2148" t="s">
        <v>1730</v>
      </c>
      <c r="L11" s="1530" t="s">
        <v>4350</v>
      </c>
      <c r="M11" s="1530" t="s">
        <v>4346</v>
      </c>
      <c r="N11" s="1724">
        <f>ROUND(1135.58*Belarus*(1-E53),2)</f>
        <v>1135.58</v>
      </c>
    </row>
    <row r="12" spans="1:14" ht="41.25" customHeight="1">
      <c r="A12" s="2169" t="s">
        <v>1866</v>
      </c>
      <c r="B12" s="2170"/>
      <c r="C12" s="2170"/>
      <c r="D12" s="183" t="s">
        <v>1701</v>
      </c>
      <c r="E12" s="183" t="s">
        <v>1867</v>
      </c>
      <c r="F12" s="183" t="s">
        <v>4472</v>
      </c>
      <c r="G12" s="907">
        <f>ROUND(3500*Belarus*(1-B53),2)</f>
        <v>3500</v>
      </c>
      <c r="I12" s="1532"/>
      <c r="J12" s="1532"/>
      <c r="K12" s="2148"/>
      <c r="L12" s="1530"/>
      <c r="M12" s="1530"/>
      <c r="N12" s="1724"/>
    </row>
    <row r="13" spans="1:14" ht="15.75" customHeight="1">
      <c r="A13" s="2163" t="s">
        <v>1919</v>
      </c>
      <c r="B13" s="2165"/>
      <c r="C13" s="2165"/>
      <c r="D13" s="2165"/>
      <c r="E13" s="2165"/>
      <c r="F13" s="2165"/>
      <c r="G13" s="2164"/>
      <c r="I13" s="1532" t="s">
        <v>4351</v>
      </c>
      <c r="J13" s="1532"/>
      <c r="K13" s="2148" t="s">
        <v>1730</v>
      </c>
      <c r="L13" s="1530" t="s">
        <v>4473</v>
      </c>
      <c r="M13" s="1530" t="s">
        <v>4346</v>
      </c>
      <c r="N13" s="1724">
        <f>ROUND(510.22*Belarus*(1-E53),2)</f>
        <v>510.22</v>
      </c>
    </row>
    <row r="14" spans="1:14" ht="15.75" customHeight="1">
      <c r="A14" s="2163" t="s">
        <v>1920</v>
      </c>
      <c r="B14" s="2165"/>
      <c r="C14" s="2165"/>
      <c r="D14" s="2165"/>
      <c r="E14" s="2165"/>
      <c r="F14" s="2165"/>
      <c r="G14" s="2164"/>
      <c r="I14" s="1532"/>
      <c r="J14" s="1532"/>
      <c r="K14" s="2148"/>
      <c r="L14" s="1530"/>
      <c r="M14" s="1530"/>
      <c r="N14" s="1724"/>
    </row>
    <row r="15" spans="1:14" ht="36.75" customHeight="1">
      <c r="A15" s="2169" t="s">
        <v>1921</v>
      </c>
      <c r="B15" s="2170"/>
      <c r="C15" s="2170"/>
      <c r="D15" s="183" t="s">
        <v>1730</v>
      </c>
      <c r="E15" s="183" t="s">
        <v>1847</v>
      </c>
      <c r="F15" s="183" t="s">
        <v>4474</v>
      </c>
      <c r="G15" s="907">
        <f>ROUND(640*Belarus*(1-B53),2)</f>
        <v>640</v>
      </c>
      <c r="I15" s="1496" t="s">
        <v>1868</v>
      </c>
      <c r="J15" s="1496"/>
      <c r="K15" s="1496"/>
      <c r="L15" s="1496"/>
      <c r="M15" s="1496"/>
      <c r="N15" s="1496"/>
    </row>
    <row r="16" spans="1:14" ht="39" customHeight="1">
      <c r="A16" s="2169" t="s">
        <v>1922</v>
      </c>
      <c r="B16" s="2170"/>
      <c r="C16" s="2170"/>
      <c r="D16" s="183" t="s">
        <v>1701</v>
      </c>
      <c r="E16" s="183" t="s">
        <v>1923</v>
      </c>
      <c r="F16" s="183" t="s">
        <v>4475</v>
      </c>
      <c r="G16" s="907">
        <f>ROUND(700*Belarus*(1-B53),2)</f>
        <v>700</v>
      </c>
      <c r="I16" s="1532" t="s">
        <v>4352</v>
      </c>
      <c r="J16" s="1532"/>
      <c r="K16" s="1532"/>
      <c r="L16" s="1532"/>
      <c r="M16" s="1530" t="s">
        <v>4346</v>
      </c>
      <c r="N16" s="1724">
        <f>ROUND(1673.63*Belarus*(1-E53),2)</f>
        <v>1673.63</v>
      </c>
    </row>
    <row r="17" spans="1:14" ht="12.75" customHeight="1">
      <c r="A17" s="2106" t="s">
        <v>1917</v>
      </c>
      <c r="B17" s="2106"/>
      <c r="C17" s="2106"/>
      <c r="D17" s="2106"/>
      <c r="E17" s="2106"/>
      <c r="F17" s="2106"/>
      <c r="G17" s="2106"/>
      <c r="I17" s="1532"/>
      <c r="J17" s="1532"/>
      <c r="K17" s="1532"/>
      <c r="L17" s="1532"/>
      <c r="M17" s="1530"/>
      <c r="N17" s="1724"/>
    </row>
    <row r="18" spans="1:14" ht="14.25">
      <c r="A18" s="2106" t="s">
        <v>1845</v>
      </c>
      <c r="B18" s="2106"/>
      <c r="C18" s="2106"/>
      <c r="D18" s="2106"/>
      <c r="E18" s="2106"/>
      <c r="F18" s="2106"/>
      <c r="G18" s="2106"/>
      <c r="I18" s="2179" t="s">
        <v>4353</v>
      </c>
      <c r="J18" s="2180"/>
      <c r="K18" s="2180"/>
      <c r="L18" s="2181"/>
      <c r="M18" s="1765" t="s">
        <v>4346</v>
      </c>
      <c r="N18" s="2185">
        <f>ROUND(2899.39*Belarus*(1-E53),2)</f>
        <v>2899.39</v>
      </c>
    </row>
    <row r="19" spans="1:14" ht="41.25" customHeight="1">
      <c r="A19" s="2169" t="s">
        <v>1918</v>
      </c>
      <c r="B19" s="2170"/>
      <c r="C19" s="2170"/>
      <c r="D19" s="2170"/>
      <c r="E19" s="2187"/>
      <c r="F19" s="183" t="s">
        <v>4476</v>
      </c>
      <c r="G19" s="907">
        <f>ROUND(1250*Belarus*(1-B53),2)</f>
        <v>1250</v>
      </c>
      <c r="I19" s="2182"/>
      <c r="J19" s="2183"/>
      <c r="K19" s="2183"/>
      <c r="L19" s="2184"/>
      <c r="M19" s="1456"/>
      <c r="N19" s="2186"/>
    </row>
    <row r="20" spans="1:14" ht="12.75" customHeight="1">
      <c r="A20" s="2106" t="s">
        <v>1868</v>
      </c>
      <c r="B20" s="2106"/>
      <c r="C20" s="2106"/>
      <c r="D20" s="2106"/>
      <c r="E20" s="2106"/>
      <c r="F20" s="2106"/>
      <c r="G20" s="2106"/>
      <c r="I20" s="1532" t="s">
        <v>4354</v>
      </c>
      <c r="J20" s="1532"/>
      <c r="K20" s="1532"/>
      <c r="L20" s="1532"/>
      <c r="M20" s="1530" t="s">
        <v>4346</v>
      </c>
      <c r="N20" s="1724">
        <f>ROUND(474.18*Belarus*(1-E53),2)</f>
        <v>474.18</v>
      </c>
    </row>
    <row r="21" spans="1:14" ht="42" customHeight="1">
      <c r="A21" s="2169" t="s">
        <v>1870</v>
      </c>
      <c r="B21" s="2170"/>
      <c r="C21" s="2170"/>
      <c r="D21" s="2170"/>
      <c r="E21" s="2187"/>
      <c r="F21" s="183" t="s">
        <v>4469</v>
      </c>
      <c r="G21" s="907">
        <f>ROUND(1140*Belarus*(1-B53),2)</f>
        <v>1140</v>
      </c>
      <c r="I21" s="1532"/>
      <c r="J21" s="1532"/>
      <c r="K21" s="1532"/>
      <c r="L21" s="1532"/>
      <c r="M21" s="1530"/>
      <c r="N21" s="1724"/>
    </row>
    <row r="22" spans="1:14" ht="42" customHeight="1">
      <c r="A22" s="2169" t="s">
        <v>1871</v>
      </c>
      <c r="B22" s="2170"/>
      <c r="C22" s="2170"/>
      <c r="D22" s="2170"/>
      <c r="E22" s="2187"/>
      <c r="F22" s="183" t="s">
        <v>4477</v>
      </c>
      <c r="G22" s="907">
        <f>ROUND(1550*Belarus*(1-B53),2)</f>
        <v>1550</v>
      </c>
      <c r="I22" s="1428" t="s">
        <v>4355</v>
      </c>
      <c r="J22" s="1588"/>
      <c r="K22" s="1588"/>
      <c r="L22" s="1589"/>
      <c r="M22" s="103" t="s">
        <v>4346</v>
      </c>
      <c r="N22" s="679">
        <f>ROUND(874.21*Belarus*(1-E53),2)</f>
        <v>874.21</v>
      </c>
    </row>
    <row r="23" spans="1:14" ht="42.75" customHeight="1">
      <c r="A23" s="2169" t="s">
        <v>1872</v>
      </c>
      <c r="B23" s="2170"/>
      <c r="C23" s="2170"/>
      <c r="D23" s="2170"/>
      <c r="E23" s="2187"/>
      <c r="F23" s="183" t="s">
        <v>4477</v>
      </c>
      <c r="G23" s="907">
        <f>ROUND(2000*Belarus*(1-B53),2)</f>
        <v>2000</v>
      </c>
      <c r="I23" s="1388" t="s">
        <v>1224</v>
      </c>
      <c r="J23" s="1388"/>
      <c r="K23" s="1388"/>
      <c r="L23" s="1388"/>
      <c r="M23" s="1388"/>
      <c r="N23" s="1388"/>
    </row>
    <row r="24" spans="1:14" ht="43.5" customHeight="1">
      <c r="A24" s="2169" t="s">
        <v>1876</v>
      </c>
      <c r="B24" s="2170"/>
      <c r="C24" s="2170"/>
      <c r="D24" s="2170"/>
      <c r="E24" s="2187"/>
      <c r="F24" s="183" t="s">
        <v>4469</v>
      </c>
      <c r="G24" s="907">
        <f>ROUND(3000*Belarus*(1-B53),2)</f>
        <v>3000</v>
      </c>
      <c r="I24" s="1428" t="s">
        <v>4356</v>
      </c>
      <c r="J24" s="1589"/>
      <c r="K24" s="183" t="s">
        <v>1701</v>
      </c>
      <c r="L24" s="103" t="s">
        <v>4345</v>
      </c>
      <c r="M24" s="103" t="s">
        <v>4346</v>
      </c>
      <c r="N24" s="679">
        <f>ROUND(866.4*Belarus*(1-E53),2)</f>
        <v>866.4</v>
      </c>
    </row>
    <row r="25" spans="1:14" ht="42" customHeight="1">
      <c r="A25" s="2169" t="s">
        <v>1880</v>
      </c>
      <c r="B25" s="2170"/>
      <c r="C25" s="2170"/>
      <c r="D25" s="2170"/>
      <c r="E25" s="2187"/>
      <c r="F25" s="183" t="s">
        <v>4477</v>
      </c>
      <c r="G25" s="907">
        <f>ROUND(370*Belarus*(1-B53),2)</f>
        <v>370</v>
      </c>
      <c r="I25" s="1428" t="s">
        <v>4357</v>
      </c>
      <c r="J25" s="1589"/>
      <c r="K25" s="183" t="s">
        <v>1701</v>
      </c>
      <c r="L25" s="103" t="s">
        <v>4348</v>
      </c>
      <c r="M25" s="103" t="s">
        <v>4346</v>
      </c>
      <c r="N25" s="679">
        <f>ROUND(866.4*Belarus*(1-E53),2)</f>
        <v>866.4</v>
      </c>
    </row>
    <row r="26" spans="1:14" ht="39" customHeight="1">
      <c r="A26" s="2169" t="s">
        <v>1883</v>
      </c>
      <c r="B26" s="2170"/>
      <c r="C26" s="2170"/>
      <c r="D26" s="2170"/>
      <c r="E26" s="2187"/>
      <c r="F26" s="183" t="s">
        <v>4477</v>
      </c>
      <c r="G26" s="907">
        <f>ROUND(550*Belarus*(1-B53),2)</f>
        <v>550</v>
      </c>
      <c r="I26" s="1532" t="s">
        <v>4358</v>
      </c>
      <c r="J26" s="1532"/>
      <c r="K26" s="2148" t="s">
        <v>1730</v>
      </c>
      <c r="L26" s="1530" t="s">
        <v>4350</v>
      </c>
      <c r="M26" s="1530" t="s">
        <v>4346</v>
      </c>
      <c r="N26" s="1724">
        <f>ROUND(858.28*Belarus*(1-E53),2)</f>
        <v>858.28</v>
      </c>
    </row>
    <row r="27" spans="1:14" ht="16.5" customHeight="1">
      <c r="A27" s="2106" t="s">
        <v>1885</v>
      </c>
      <c r="B27" s="2106"/>
      <c r="C27" s="2106"/>
      <c r="D27" s="2106"/>
      <c r="E27" s="2106"/>
      <c r="F27" s="2106"/>
      <c r="G27" s="2106"/>
      <c r="I27" s="1532"/>
      <c r="J27" s="1532"/>
      <c r="K27" s="2148"/>
      <c r="L27" s="1530"/>
      <c r="M27" s="1530"/>
      <c r="N27" s="1724"/>
    </row>
    <row r="28" spans="1:14" ht="54.75" customHeight="1">
      <c r="A28" s="2169" t="s">
        <v>1889</v>
      </c>
      <c r="B28" s="2170"/>
      <c r="C28" s="2170"/>
      <c r="D28" s="2170"/>
      <c r="E28" s="2187"/>
      <c r="F28" s="183" t="s">
        <v>858</v>
      </c>
      <c r="G28" s="907">
        <f>ROUND(12000*Belarus*(1-B53),2)</f>
        <v>12000</v>
      </c>
      <c r="I28" s="108"/>
      <c r="J28" s="125"/>
      <c r="K28" s="125"/>
      <c r="L28" s="909"/>
      <c r="M28" s="125"/>
      <c r="N28" s="909"/>
    </row>
    <row r="29" spans="1:14" ht="15.75" customHeight="1">
      <c r="A29" s="2106" t="s">
        <v>1224</v>
      </c>
      <c r="B29" s="2106"/>
      <c r="C29" s="2106"/>
      <c r="D29" s="2106"/>
      <c r="E29" s="2106"/>
      <c r="F29" s="2106"/>
      <c r="G29" s="2106"/>
      <c r="I29" s="1491" t="s">
        <v>420</v>
      </c>
      <c r="J29" s="1491"/>
      <c r="K29" s="1491"/>
      <c r="L29" s="1491"/>
      <c r="M29" s="1491"/>
      <c r="N29" s="1491"/>
    </row>
    <row r="30" spans="1:14" ht="12.75" customHeight="1">
      <c r="A30" s="1976" t="s">
        <v>1894</v>
      </c>
      <c r="B30" s="1976"/>
      <c r="C30" s="1976"/>
      <c r="D30" s="1976"/>
      <c r="E30" s="1976"/>
      <c r="F30" s="1976"/>
      <c r="G30" s="1976"/>
      <c r="I30" s="1491"/>
      <c r="J30" s="1491"/>
      <c r="K30" s="1491"/>
      <c r="L30" s="1491"/>
      <c r="M30" s="1491"/>
      <c r="N30" s="1491"/>
    </row>
    <row r="31" spans="1:14" ht="41.25" customHeight="1">
      <c r="A31" s="2169" t="s">
        <v>1895</v>
      </c>
      <c r="B31" s="2170"/>
      <c r="C31" s="2170"/>
      <c r="D31" s="183" t="s">
        <v>1730</v>
      </c>
      <c r="E31" s="183" t="s">
        <v>1847</v>
      </c>
      <c r="F31" s="183" t="s">
        <v>4478</v>
      </c>
      <c r="G31" s="907">
        <f>ROUND(700*Belarus*(1-B53),2)</f>
        <v>700</v>
      </c>
      <c r="I31" s="2008" t="s">
        <v>4479</v>
      </c>
      <c r="J31" s="2008"/>
      <c r="K31" s="2008"/>
      <c r="L31" s="2008"/>
      <c r="M31" s="2008"/>
      <c r="N31" s="2008"/>
    </row>
    <row r="32" spans="1:14" ht="34.5" customHeight="1">
      <c r="A32" s="2169" t="s">
        <v>1896</v>
      </c>
      <c r="B32" s="2170"/>
      <c r="C32" s="2170"/>
      <c r="D32" s="183" t="s">
        <v>1701</v>
      </c>
      <c r="E32" s="183" t="s">
        <v>1855</v>
      </c>
      <c r="F32" s="183" t="s">
        <v>4478</v>
      </c>
      <c r="G32" s="907">
        <f>ROUND(715*Belarus*(1-B53),2)</f>
        <v>715</v>
      </c>
      <c r="I32" s="2008" t="s">
        <v>4480</v>
      </c>
      <c r="J32" s="2008"/>
      <c r="K32" s="2008"/>
      <c r="L32" s="2008"/>
      <c r="M32" s="2008"/>
      <c r="N32" s="2008"/>
    </row>
    <row r="33" spans="1:15" ht="36.75" customHeight="1">
      <c r="A33" s="2169" t="s">
        <v>1899</v>
      </c>
      <c r="B33" s="2170"/>
      <c r="C33" s="2170"/>
      <c r="D33" s="183" t="s">
        <v>1701</v>
      </c>
      <c r="E33" s="183" t="s">
        <v>1862</v>
      </c>
      <c r="F33" s="183" t="s">
        <v>4481</v>
      </c>
      <c r="G33" s="907">
        <f>ROUND(775*Belarus*(1-B53),2)</f>
        <v>775</v>
      </c>
      <c r="I33" s="2008" t="s">
        <v>1925</v>
      </c>
      <c r="J33" s="2008"/>
      <c r="K33" s="2008"/>
      <c r="L33" s="2008"/>
      <c r="M33" s="2008"/>
      <c r="N33" s="2008"/>
    </row>
    <row r="34" spans="1:15" ht="15.75" customHeight="1">
      <c r="A34" s="1976" t="s">
        <v>1900</v>
      </c>
      <c r="B34" s="1976"/>
      <c r="C34" s="1976"/>
      <c r="D34" s="1976"/>
      <c r="E34" s="1976"/>
      <c r="F34" s="1976"/>
      <c r="G34" s="1976"/>
      <c r="I34" s="108"/>
      <c r="J34" s="125"/>
      <c r="K34" s="125"/>
      <c r="L34" s="909"/>
      <c r="M34" s="125"/>
      <c r="N34" s="909"/>
    </row>
    <row r="35" spans="1:15" ht="31.5" customHeight="1">
      <c r="A35" s="2169" t="s">
        <v>1904</v>
      </c>
      <c r="B35" s="2170"/>
      <c r="C35" s="2170"/>
      <c r="D35" s="183" t="s">
        <v>1730</v>
      </c>
      <c r="E35" s="183" t="s">
        <v>1847</v>
      </c>
      <c r="F35" s="183" t="s">
        <v>4478</v>
      </c>
      <c r="G35" s="907">
        <f>ROUND(850*Belarus*(1-B53),2)</f>
        <v>850</v>
      </c>
      <c r="I35" s="108"/>
      <c r="J35" s="125"/>
      <c r="K35" s="125"/>
      <c r="L35" s="909"/>
      <c r="M35" s="125"/>
      <c r="N35" s="909"/>
    </row>
    <row r="36" spans="1:15" ht="36" customHeight="1">
      <c r="A36" s="2169" t="s">
        <v>1905</v>
      </c>
      <c r="B36" s="2170"/>
      <c r="C36" s="2170"/>
      <c r="D36" s="183" t="s">
        <v>1701</v>
      </c>
      <c r="E36" s="183" t="s">
        <v>1855</v>
      </c>
      <c r="F36" s="183" t="s">
        <v>4478</v>
      </c>
      <c r="G36" s="907">
        <f>ROUND(1180*Belarus*(1-B53),2)</f>
        <v>1180</v>
      </c>
      <c r="I36" s="1491" t="s">
        <v>1830</v>
      </c>
      <c r="J36" s="1491"/>
      <c r="K36" s="1491"/>
      <c r="L36" s="1491"/>
      <c r="M36" s="1491"/>
      <c r="N36" s="1491"/>
    </row>
    <row r="37" spans="1:15" s="1" customFormat="1" ht="41.25" customHeight="1">
      <c r="A37" s="2169" t="s">
        <v>1909</v>
      </c>
      <c r="B37" s="2170"/>
      <c r="C37" s="2170"/>
      <c r="D37" s="183" t="s">
        <v>1701</v>
      </c>
      <c r="E37" s="183" t="s">
        <v>1862</v>
      </c>
      <c r="F37" s="183" t="s">
        <v>4481</v>
      </c>
      <c r="G37" s="907">
        <f>ROUND(1200*Belarus*(1-B53),2)</f>
        <v>1200</v>
      </c>
      <c r="H37" s="397"/>
      <c r="I37" s="432"/>
      <c r="J37" s="2188" t="s">
        <v>578</v>
      </c>
      <c r="K37" s="2189"/>
      <c r="L37" s="2190"/>
      <c r="M37" s="1916">
        <f>230*Belarus</f>
        <v>230</v>
      </c>
      <c r="N37" s="1917"/>
    </row>
    <row r="38" spans="1:15" ht="35.25" customHeight="1">
      <c r="A38" s="2169" t="s">
        <v>1911</v>
      </c>
      <c r="B38" s="2170"/>
      <c r="C38" s="2170"/>
      <c r="D38" s="183" t="s">
        <v>1701</v>
      </c>
      <c r="E38" s="183" t="s">
        <v>1867</v>
      </c>
      <c r="F38" s="183" t="s">
        <v>1912</v>
      </c>
      <c r="G38" s="907">
        <f>ROUND(2500*Belarus*(1-B53),2)</f>
        <v>2500</v>
      </c>
      <c r="H38" s="76"/>
      <c r="I38" s="433"/>
      <c r="J38" s="1981" t="s">
        <v>1834</v>
      </c>
      <c r="K38" s="1981"/>
      <c r="L38" s="1981"/>
      <c r="M38" s="1754">
        <f>120*Belarus</f>
        <v>120</v>
      </c>
      <c r="N38" s="2191"/>
    </row>
    <row r="39" spans="1:15" ht="15.75" customHeight="1">
      <c r="A39" s="1976" t="s">
        <v>1915</v>
      </c>
      <c r="B39" s="1976"/>
      <c r="C39" s="1976"/>
      <c r="D39" s="1976"/>
      <c r="E39" s="1976"/>
      <c r="F39" s="1976"/>
      <c r="G39" s="1976"/>
      <c r="H39" s="76"/>
      <c r="I39" s="184"/>
      <c r="J39" s="184"/>
      <c r="K39" s="184"/>
      <c r="L39" s="184"/>
      <c r="M39" s="184"/>
      <c r="N39" s="938"/>
      <c r="O39" s="184"/>
    </row>
    <row r="40" spans="1:15">
      <c r="A40" s="2192" t="s">
        <v>1916</v>
      </c>
      <c r="B40" s="2193"/>
      <c r="C40" s="2193"/>
      <c r="D40" s="2193"/>
      <c r="E40" s="2194"/>
      <c r="F40" s="183" t="s">
        <v>369</v>
      </c>
      <c r="G40" s="907">
        <f>ROUND(650*Belarus*(1-B53),2)</f>
        <v>650</v>
      </c>
      <c r="H40" s="76"/>
      <c r="I40" s="654"/>
      <c r="J40" s="939"/>
      <c r="K40" s="939"/>
      <c r="L40" s="939"/>
      <c r="M40" s="938"/>
      <c r="N40" s="938"/>
      <c r="O40" s="184"/>
    </row>
    <row r="41" spans="1:15" ht="17.25" customHeight="1">
      <c r="A41" s="2106" t="s">
        <v>1924</v>
      </c>
      <c r="B41" s="2106"/>
      <c r="C41" s="2106"/>
      <c r="D41" s="2106"/>
      <c r="E41" s="2106"/>
      <c r="F41" s="2106"/>
      <c r="G41" s="2106"/>
      <c r="I41" s="184"/>
      <c r="J41" s="184"/>
      <c r="K41" s="184"/>
      <c r="L41" s="184"/>
      <c r="M41" s="184"/>
      <c r="N41" s="184"/>
      <c r="O41" s="184"/>
    </row>
    <row r="42" spans="1:15" ht="18.75" customHeight="1">
      <c r="A42" s="2169" t="s">
        <v>4482</v>
      </c>
      <c r="B42" s="2170"/>
      <c r="C42" s="2170"/>
      <c r="D42" s="2170"/>
      <c r="E42" s="2187"/>
      <c r="F42" s="183" t="s">
        <v>833</v>
      </c>
      <c r="G42" s="395">
        <f>ROUND(450*Belarus*(1-B53),2)</f>
        <v>450</v>
      </c>
      <c r="I42" s="184"/>
      <c r="J42" s="184"/>
      <c r="K42" s="184"/>
      <c r="L42" s="184"/>
      <c r="M42" s="184"/>
      <c r="N42" s="184"/>
      <c r="O42" s="184"/>
    </row>
    <row r="43" spans="1:15" ht="18.75" customHeight="1">
      <c r="I43" s="191"/>
      <c r="J43" s="191"/>
      <c r="K43" s="191"/>
      <c r="L43" s="191"/>
      <c r="M43" s="191"/>
      <c r="N43" s="191"/>
      <c r="O43" s="184"/>
    </row>
    <row r="44" spans="1:15" ht="19.5" customHeight="1"/>
    <row r="47" spans="1:15" ht="12.75" customHeight="1">
      <c r="B47" s="46"/>
      <c r="C47" s="46"/>
      <c r="D47" s="46"/>
      <c r="E47" s="46"/>
      <c r="F47" s="46"/>
    </row>
    <row r="52" spans="1:7">
      <c r="A52" s="1340" t="s">
        <v>1835</v>
      </c>
      <c r="B52" s="1629" t="s">
        <v>1926</v>
      </c>
      <c r="C52" s="1629"/>
      <c r="D52" s="1629"/>
      <c r="E52" s="1629" t="s">
        <v>4359</v>
      </c>
      <c r="F52" s="1629"/>
      <c r="G52" s="1629"/>
    </row>
    <row r="53" spans="1:7">
      <c r="A53" s="1341"/>
      <c r="B53" s="2195">
        <v>0</v>
      </c>
      <c r="C53" s="2195"/>
      <c r="D53" s="2195"/>
      <c r="E53" s="2195">
        <v>0</v>
      </c>
      <c r="F53" s="2195"/>
      <c r="G53" s="2195"/>
    </row>
  </sheetData>
  <sheetProtection selectLockedCells="1" selectUnlockedCells="1"/>
  <mergeCells count="93">
    <mergeCell ref="A42:E42"/>
    <mergeCell ref="A52:A53"/>
    <mergeCell ref="B52:D52"/>
    <mergeCell ref="E52:G52"/>
    <mergeCell ref="B53:D53"/>
    <mergeCell ref="E53:G53"/>
    <mergeCell ref="A38:C38"/>
    <mergeCell ref="J38:L38"/>
    <mergeCell ref="M38:N38"/>
    <mergeCell ref="A39:G39"/>
    <mergeCell ref="A40:E40"/>
    <mergeCell ref="A41:G41"/>
    <mergeCell ref="A34:G34"/>
    <mergeCell ref="A35:C35"/>
    <mergeCell ref="A36:C36"/>
    <mergeCell ref="I36:N36"/>
    <mergeCell ref="A37:C37"/>
    <mergeCell ref="J37:L37"/>
    <mergeCell ref="M37:N37"/>
    <mergeCell ref="A31:C31"/>
    <mergeCell ref="I31:N31"/>
    <mergeCell ref="A32:C32"/>
    <mergeCell ref="I32:N32"/>
    <mergeCell ref="A33:C33"/>
    <mergeCell ref="I33:N33"/>
    <mergeCell ref="M26:M27"/>
    <mergeCell ref="N26:N27"/>
    <mergeCell ref="A27:G27"/>
    <mergeCell ref="A28:E28"/>
    <mergeCell ref="A29:G29"/>
    <mergeCell ref="I29:N30"/>
    <mergeCell ref="A30:G30"/>
    <mergeCell ref="A25:E25"/>
    <mergeCell ref="I25:J25"/>
    <mergeCell ref="A26:E26"/>
    <mergeCell ref="I26:J27"/>
    <mergeCell ref="K26:K27"/>
    <mergeCell ref="L26:L27"/>
    <mergeCell ref="A22:E22"/>
    <mergeCell ref="I22:L22"/>
    <mergeCell ref="A23:E23"/>
    <mergeCell ref="I23:N23"/>
    <mergeCell ref="A24:E24"/>
    <mergeCell ref="I24:J24"/>
    <mergeCell ref="A18:G18"/>
    <mergeCell ref="I18:L19"/>
    <mergeCell ref="M18:M19"/>
    <mergeCell ref="N18:N19"/>
    <mergeCell ref="A19:E19"/>
    <mergeCell ref="A20:G20"/>
    <mergeCell ref="I20:L21"/>
    <mergeCell ref="M20:M21"/>
    <mergeCell ref="N20:N21"/>
    <mergeCell ref="A21:E21"/>
    <mergeCell ref="A15:C15"/>
    <mergeCell ref="I15:N15"/>
    <mergeCell ref="A16:C16"/>
    <mergeCell ref="I16:L17"/>
    <mergeCell ref="M16:M17"/>
    <mergeCell ref="N16:N17"/>
    <mergeCell ref="A17:G17"/>
    <mergeCell ref="A13:G13"/>
    <mergeCell ref="I13:J14"/>
    <mergeCell ref="K13:K14"/>
    <mergeCell ref="L13:L14"/>
    <mergeCell ref="M13:M14"/>
    <mergeCell ref="N13:N14"/>
    <mergeCell ref="A14:G14"/>
    <mergeCell ref="I11:J12"/>
    <mergeCell ref="K11:K12"/>
    <mergeCell ref="L11:L12"/>
    <mergeCell ref="M11:M12"/>
    <mergeCell ref="N11:N12"/>
    <mergeCell ref="A12:C12"/>
    <mergeCell ref="A8:C8"/>
    <mergeCell ref="I8:J8"/>
    <mergeCell ref="A9:C9"/>
    <mergeCell ref="I9:J9"/>
    <mergeCell ref="A10:C11"/>
    <mergeCell ref="D10:D11"/>
    <mergeCell ref="E10:E11"/>
    <mergeCell ref="F10:F11"/>
    <mergeCell ref="G10:G11"/>
    <mergeCell ref="I10:N10"/>
    <mergeCell ref="A1:C1"/>
    <mergeCell ref="A3:G3"/>
    <mergeCell ref="I3:N3"/>
    <mergeCell ref="A5:C5"/>
    <mergeCell ref="I5:J5"/>
    <mergeCell ref="A6:G6"/>
    <mergeCell ref="I6:N7"/>
    <mergeCell ref="A7:E7"/>
    <mergeCell ref="F7:G7"/>
  </mergeCells>
  <hyperlinks>
    <hyperlink ref="A1" location="Содержание прайса!A1" display="Вернуться в начало"/>
    <hyperlink ref="A1:C1" location="'Содержание прайса'!A1" display="Вернуться в начало"/>
  </hyperlinks>
  <printOptions horizontalCentered="1"/>
  <pageMargins left="0" right="0" top="0.47244094488188981" bottom="0" header="0" footer="0"/>
  <pageSetup paperSize="9" scale="48"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21</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Q35"/>
  <sheetViews>
    <sheetView zoomScale="70" zoomScaleNormal="70" workbookViewId="0">
      <selection sqref="A1:B1"/>
    </sheetView>
  </sheetViews>
  <sheetFormatPr defaultRowHeight="12.75" customHeight="1"/>
  <cols>
    <col min="1" max="1" width="32.85546875" style="46" customWidth="1"/>
    <col min="2" max="2" width="9.7109375" style="46" customWidth="1"/>
    <col min="3" max="3" width="10.28515625" style="46" customWidth="1"/>
    <col min="4" max="4" width="11.28515625" style="46" customWidth="1"/>
    <col min="5" max="5" width="15.7109375" style="46" customWidth="1"/>
    <col min="6" max="6" width="14.7109375" style="46" customWidth="1"/>
    <col min="7" max="7" width="19.5703125" style="46" customWidth="1"/>
    <col min="8" max="8" width="12.28515625" style="46" customWidth="1"/>
    <col min="9" max="9" width="6.140625" style="46" customWidth="1"/>
    <col min="10" max="10" width="33" style="46" customWidth="1"/>
    <col min="11" max="11" width="9.7109375" style="46" customWidth="1"/>
    <col min="12" max="12" width="10.28515625" style="46" customWidth="1"/>
    <col min="13" max="13" width="10.85546875" style="46" customWidth="1"/>
    <col min="14" max="14" width="15.42578125" style="46" customWidth="1"/>
    <col min="15" max="15" width="14" style="46" customWidth="1"/>
    <col min="16" max="16" width="18" style="46" customWidth="1"/>
    <col min="17" max="17" width="12.28515625" style="46" customWidth="1"/>
    <col min="18" max="16384" width="9.140625" style="46"/>
  </cols>
  <sheetData>
    <row r="1" spans="1:17">
      <c r="A1" s="1666" t="s">
        <v>312</v>
      </c>
      <c r="B1" s="1666"/>
    </row>
    <row r="2" spans="1:17" s="54" customFormat="1">
      <c r="P2" s="676" t="s">
        <v>313</v>
      </c>
      <c r="Q2" s="937">
        <v>43292</v>
      </c>
    </row>
    <row r="3" spans="1:17" s="54" customFormat="1" ht="15.75" customHeight="1" thickBot="1">
      <c r="A3" s="1273" t="s">
        <v>4360</v>
      </c>
      <c r="B3" s="1273"/>
      <c r="C3" s="1273"/>
      <c r="D3" s="1273"/>
      <c r="E3" s="1273"/>
      <c r="F3" s="1273"/>
      <c r="G3" s="1273"/>
      <c r="H3" s="1273"/>
      <c r="I3" s="1273"/>
      <c r="J3" s="1273"/>
      <c r="K3" s="1273"/>
      <c r="L3" s="1273"/>
      <c r="M3" s="1273"/>
      <c r="N3" s="1273"/>
      <c r="O3" s="1273"/>
      <c r="P3" s="1273"/>
      <c r="Q3" s="1273"/>
    </row>
    <row r="4" spans="1:17" ht="12.75" customHeight="1">
      <c r="K4" s="317"/>
      <c r="L4" s="317"/>
      <c r="M4" s="317"/>
      <c r="N4" s="317"/>
      <c r="P4" s="392" t="s">
        <v>315</v>
      </c>
      <c r="Q4" s="906">
        <v>42180</v>
      </c>
    </row>
    <row r="5" spans="1:17">
      <c r="A5" s="2033" t="s">
        <v>1841</v>
      </c>
      <c r="B5" s="2033" t="s">
        <v>1842</v>
      </c>
      <c r="C5" s="1378" t="s">
        <v>4361</v>
      </c>
      <c r="D5" s="1379"/>
      <c r="E5" s="1380"/>
      <c r="F5" s="1495" t="s">
        <v>1843</v>
      </c>
      <c r="G5" s="1495" t="s">
        <v>1695</v>
      </c>
      <c r="H5" s="2198" t="s">
        <v>1840</v>
      </c>
      <c r="I5" s="910"/>
      <c r="J5" s="2033" t="s">
        <v>1841</v>
      </c>
      <c r="K5" s="2033" t="s">
        <v>1842</v>
      </c>
      <c r="L5" s="1378" t="s">
        <v>4361</v>
      </c>
      <c r="M5" s="1379"/>
      <c r="N5" s="1380"/>
      <c r="O5" s="1495" t="s">
        <v>1843</v>
      </c>
      <c r="P5" s="1495" t="s">
        <v>1695</v>
      </c>
      <c r="Q5" s="2198" t="s">
        <v>1840</v>
      </c>
    </row>
    <row r="6" spans="1:17" ht="45" customHeight="1">
      <c r="A6" s="2034"/>
      <c r="B6" s="2034"/>
      <c r="C6" s="126" t="s">
        <v>4362</v>
      </c>
      <c r="D6" s="126" t="s">
        <v>4363</v>
      </c>
      <c r="E6" s="126" t="s">
        <v>4364</v>
      </c>
      <c r="F6" s="1496"/>
      <c r="G6" s="1496"/>
      <c r="H6" s="2199"/>
      <c r="I6" s="910"/>
      <c r="J6" s="2034"/>
      <c r="K6" s="2034"/>
      <c r="L6" s="126" t="s">
        <v>4362</v>
      </c>
      <c r="M6" s="126" t="s">
        <v>4363</v>
      </c>
      <c r="N6" s="126" t="s">
        <v>4364</v>
      </c>
      <c r="O6" s="1496"/>
      <c r="P6" s="1496"/>
      <c r="Q6" s="2199"/>
    </row>
    <row r="7" spans="1:17" ht="15" customHeight="1">
      <c r="A7" s="2106" t="s">
        <v>6730</v>
      </c>
      <c r="B7" s="2106"/>
      <c r="C7" s="2106"/>
      <c r="D7" s="2106"/>
      <c r="E7" s="2106"/>
      <c r="F7" s="2106"/>
      <c r="G7" s="2106"/>
      <c r="H7" s="2106"/>
      <c r="I7" s="911"/>
      <c r="J7" s="1353" t="s">
        <v>1884</v>
      </c>
      <c r="K7" s="1354"/>
      <c r="L7" s="1354"/>
      <c r="M7" s="1354"/>
      <c r="N7" s="1354"/>
      <c r="O7" s="1354"/>
      <c r="P7" s="1354"/>
      <c r="Q7" s="1355"/>
    </row>
    <row r="8" spans="1:17" ht="51" customHeight="1">
      <c r="A8" s="92" t="s">
        <v>1848</v>
      </c>
      <c r="B8" s="585" t="s">
        <v>4365</v>
      </c>
      <c r="C8" s="103" t="s">
        <v>1849</v>
      </c>
      <c r="D8" s="103" t="s">
        <v>4366</v>
      </c>
      <c r="E8" s="103" t="s">
        <v>4367</v>
      </c>
      <c r="F8" s="103" t="s">
        <v>1850</v>
      </c>
      <c r="G8" s="1530" t="s">
        <v>1851</v>
      </c>
      <c r="H8" s="912">
        <f>ROUND(360*Belarus*(1-B35),2)</f>
        <v>360</v>
      </c>
      <c r="I8" s="908"/>
      <c r="J8" s="102" t="s">
        <v>1886</v>
      </c>
      <c r="K8" s="585" t="s">
        <v>4368</v>
      </c>
      <c r="L8" s="103" t="s">
        <v>1887</v>
      </c>
      <c r="M8" s="103" t="s">
        <v>4366</v>
      </c>
      <c r="N8" s="103" t="s">
        <v>4367</v>
      </c>
      <c r="O8" s="103" t="s">
        <v>1850</v>
      </c>
      <c r="P8" s="1530" t="s">
        <v>1851</v>
      </c>
      <c r="Q8" s="913">
        <f>ROUND(950*Belarus*(1-B35),2)</f>
        <v>950</v>
      </c>
    </row>
    <row r="9" spans="1:17" ht="42.75" customHeight="1">
      <c r="A9" s="92" t="s">
        <v>1856</v>
      </c>
      <c r="B9" s="585" t="s">
        <v>4369</v>
      </c>
      <c r="C9" s="103" t="s">
        <v>1857</v>
      </c>
      <c r="D9" s="103" t="s">
        <v>4366</v>
      </c>
      <c r="E9" s="103" t="s">
        <v>4367</v>
      </c>
      <c r="F9" s="103" t="s">
        <v>1850</v>
      </c>
      <c r="G9" s="1530"/>
      <c r="H9" s="912">
        <f>ROUND(390*Belarus*(1-B35),2)</f>
        <v>390</v>
      </c>
      <c r="I9" s="908"/>
      <c r="J9" s="102" t="s">
        <v>1890</v>
      </c>
      <c r="K9" s="585" t="s">
        <v>4370</v>
      </c>
      <c r="L9" s="103" t="s">
        <v>1891</v>
      </c>
      <c r="M9" s="103" t="s">
        <v>4366</v>
      </c>
      <c r="N9" s="103" t="s">
        <v>4367</v>
      </c>
      <c r="O9" s="103" t="s">
        <v>1850</v>
      </c>
      <c r="P9" s="1530"/>
      <c r="Q9" s="913">
        <f>ROUND(1075*Belarus*(1-B35),2)</f>
        <v>1075</v>
      </c>
    </row>
    <row r="10" spans="1:17" ht="39.75" customHeight="1">
      <c r="A10" s="92" t="s">
        <v>1863</v>
      </c>
      <c r="B10" s="585" t="s">
        <v>4371</v>
      </c>
      <c r="C10" s="103" t="s">
        <v>1864</v>
      </c>
      <c r="D10" s="103" t="s">
        <v>4366</v>
      </c>
      <c r="E10" s="103" t="s">
        <v>4367</v>
      </c>
      <c r="F10" s="103" t="s">
        <v>1850</v>
      </c>
      <c r="G10" s="1530"/>
      <c r="H10" s="912">
        <f>ROUND(750*Belarus*(1-B35),2)</f>
        <v>750</v>
      </c>
      <c r="I10" s="908"/>
      <c r="J10" s="92" t="s">
        <v>1877</v>
      </c>
      <c r="K10" s="585" t="s">
        <v>4372</v>
      </c>
      <c r="L10" s="103" t="s">
        <v>1878</v>
      </c>
      <c r="M10" s="103" t="s">
        <v>4366</v>
      </c>
      <c r="N10" s="103" t="s">
        <v>4367</v>
      </c>
      <c r="O10" s="103" t="s">
        <v>1850</v>
      </c>
      <c r="P10" s="1530" t="s">
        <v>1851</v>
      </c>
      <c r="Q10" s="913">
        <f>ROUND(1290*Belarus*(1-B35),2)</f>
        <v>1290</v>
      </c>
    </row>
    <row r="11" spans="1:17" ht="77.25" customHeight="1">
      <c r="A11" s="92" t="s">
        <v>1852</v>
      </c>
      <c r="B11" s="585" t="s">
        <v>4373</v>
      </c>
      <c r="C11" s="103" t="s">
        <v>1853</v>
      </c>
      <c r="D11" s="103" t="s">
        <v>4366</v>
      </c>
      <c r="E11" s="103" t="s">
        <v>4367</v>
      </c>
      <c r="F11" s="103" t="s">
        <v>1850</v>
      </c>
      <c r="G11" s="103" t="s">
        <v>1851</v>
      </c>
      <c r="H11" s="912">
        <f>ROUND(910*Belarus*(1-B35),2)</f>
        <v>910</v>
      </c>
      <c r="I11" s="908"/>
      <c r="J11" s="102" t="s">
        <v>1881</v>
      </c>
      <c r="K11" s="585" t="s">
        <v>4374</v>
      </c>
      <c r="L11" s="103" t="s">
        <v>1882</v>
      </c>
      <c r="M11" s="103" t="s">
        <v>4366</v>
      </c>
      <c r="N11" s="103" t="s">
        <v>4367</v>
      </c>
      <c r="O11" s="103" t="s">
        <v>1850</v>
      </c>
      <c r="P11" s="1530"/>
      <c r="Q11" s="913">
        <f>ROUND(2755*Belarus*(1-B35),2)</f>
        <v>2755</v>
      </c>
    </row>
    <row r="12" spans="1:17" ht="61.5" customHeight="1">
      <c r="A12" s="92" t="s">
        <v>1858</v>
      </c>
      <c r="B12" s="585" t="s">
        <v>4375</v>
      </c>
      <c r="C12" s="103" t="s">
        <v>1853</v>
      </c>
      <c r="D12" s="103" t="s">
        <v>4366</v>
      </c>
      <c r="E12" s="103" t="s">
        <v>4367</v>
      </c>
      <c r="F12" s="103" t="s">
        <v>1859</v>
      </c>
      <c r="G12" s="103" t="s">
        <v>4330</v>
      </c>
      <c r="H12" s="912">
        <f>ROUND(910*Belarus*(1-B35),2)</f>
        <v>910</v>
      </c>
      <c r="I12" s="908"/>
      <c r="J12" s="92" t="s">
        <v>4376</v>
      </c>
      <c r="K12" s="585" t="s">
        <v>4377</v>
      </c>
      <c r="L12" s="103" t="s">
        <v>1906</v>
      </c>
      <c r="M12" s="103" t="s">
        <v>4378</v>
      </c>
      <c r="N12" s="103" t="s">
        <v>496</v>
      </c>
      <c r="O12" s="103" t="s">
        <v>4331</v>
      </c>
      <c r="P12" s="1530" t="s">
        <v>1907</v>
      </c>
      <c r="Q12" s="913">
        <f>ROUND(1175*Belarus*(1-B35),2)</f>
        <v>1175</v>
      </c>
    </row>
    <row r="13" spans="1:17" ht="59.25" customHeight="1">
      <c r="A13" s="1351" t="s">
        <v>1865</v>
      </c>
      <c r="B13" s="1351"/>
      <c r="C13" s="1351"/>
      <c r="D13" s="1351"/>
      <c r="E13" s="1351"/>
      <c r="F13" s="1351"/>
      <c r="G13" s="1351"/>
      <c r="H13" s="1351"/>
      <c r="I13" s="127"/>
      <c r="J13" s="92" t="s">
        <v>4379</v>
      </c>
      <c r="K13" s="585" t="s">
        <v>4380</v>
      </c>
      <c r="L13" s="103" t="s">
        <v>1910</v>
      </c>
      <c r="M13" s="103" t="s">
        <v>4378</v>
      </c>
      <c r="N13" s="103" t="s">
        <v>496</v>
      </c>
      <c r="O13" s="103" t="s">
        <v>4331</v>
      </c>
      <c r="P13" s="1530"/>
      <c r="Q13" s="913">
        <f>ROUND(1350*Belarus*(1-B35),2)</f>
        <v>1350</v>
      </c>
    </row>
    <row r="14" spans="1:17" ht="30" customHeight="1">
      <c r="A14" s="1352" t="s">
        <v>4381</v>
      </c>
      <c r="B14" s="1352"/>
      <c r="C14" s="1352"/>
      <c r="D14" s="1352"/>
      <c r="E14" s="1352"/>
      <c r="F14" s="1352"/>
      <c r="G14" s="1352"/>
      <c r="H14" s="1352"/>
      <c r="I14" s="914"/>
      <c r="J14" s="102" t="s">
        <v>4382</v>
      </c>
      <c r="K14" s="585" t="s">
        <v>4383</v>
      </c>
      <c r="L14" s="103" t="s">
        <v>1913</v>
      </c>
      <c r="M14" s="103" t="s">
        <v>4378</v>
      </c>
      <c r="N14" s="103" t="s">
        <v>496</v>
      </c>
      <c r="O14" s="103" t="s">
        <v>4331</v>
      </c>
      <c r="P14" s="1530"/>
      <c r="Q14" s="913">
        <f>ROUND(3900*Belarus*(1-B35),2)</f>
        <v>3900</v>
      </c>
    </row>
    <row r="15" spans="1:17" ht="61.5" customHeight="1">
      <c r="A15" s="92" t="s">
        <v>4384</v>
      </c>
      <c r="B15" s="585" t="s">
        <v>4377</v>
      </c>
      <c r="C15" s="103" t="s">
        <v>1878</v>
      </c>
      <c r="D15" s="103" t="s">
        <v>4385</v>
      </c>
      <c r="E15" s="103" t="s">
        <v>4386</v>
      </c>
      <c r="F15" s="103" t="s">
        <v>6711</v>
      </c>
      <c r="G15" s="1530" t="s">
        <v>1860</v>
      </c>
      <c r="H15" s="912">
        <f>ROUND(1840*Belarus*(1-B35),2)</f>
        <v>1840</v>
      </c>
      <c r="I15" s="908"/>
      <c r="J15" s="92" t="s">
        <v>4384</v>
      </c>
      <c r="K15" s="585" t="s">
        <v>4377</v>
      </c>
      <c r="L15" s="103" t="s">
        <v>1878</v>
      </c>
      <c r="M15" s="103" t="s">
        <v>4366</v>
      </c>
      <c r="N15" s="103" t="s">
        <v>4386</v>
      </c>
      <c r="O15" s="103" t="s">
        <v>4331</v>
      </c>
      <c r="P15" s="103" t="s">
        <v>1860</v>
      </c>
      <c r="Q15" s="913">
        <f>ROUND(1400*Belarus*(1-B35),2)</f>
        <v>1400</v>
      </c>
    </row>
    <row r="16" spans="1:17" ht="42" customHeight="1">
      <c r="A16" s="92" t="s">
        <v>4387</v>
      </c>
      <c r="B16" s="585" t="s">
        <v>4380</v>
      </c>
      <c r="C16" s="103" t="s">
        <v>4332</v>
      </c>
      <c r="D16" s="103" t="s">
        <v>4385</v>
      </c>
      <c r="E16" s="103" t="s">
        <v>4386</v>
      </c>
      <c r="F16" s="103" t="s">
        <v>6711</v>
      </c>
      <c r="G16" s="1530"/>
      <c r="H16" s="912">
        <f>ROUND(2050*Belarus*(1-B35),2)</f>
        <v>2050</v>
      </c>
      <c r="I16" s="908"/>
      <c r="J16" s="92" t="s">
        <v>4388</v>
      </c>
      <c r="K16" s="585" t="s">
        <v>4380</v>
      </c>
      <c r="L16" s="103" t="s">
        <v>4332</v>
      </c>
      <c r="M16" s="103" t="s">
        <v>4366</v>
      </c>
      <c r="N16" s="103" t="s">
        <v>4386</v>
      </c>
      <c r="O16" s="103" t="s">
        <v>4331</v>
      </c>
      <c r="P16" s="103" t="s">
        <v>1888</v>
      </c>
      <c r="Q16" s="913">
        <f>ROUND(1530*Belarus*(1-B35),2)</f>
        <v>1530</v>
      </c>
    </row>
    <row r="17" spans="1:17" ht="43.5" customHeight="1">
      <c r="A17" s="92" t="s">
        <v>1877</v>
      </c>
      <c r="B17" s="585" t="s">
        <v>4372</v>
      </c>
      <c r="C17" s="103" t="s">
        <v>1878</v>
      </c>
      <c r="D17" s="103" t="s">
        <v>4385</v>
      </c>
      <c r="E17" s="103" t="s">
        <v>4367</v>
      </c>
      <c r="F17" s="103" t="s">
        <v>1850</v>
      </c>
      <c r="G17" s="1530" t="s">
        <v>1851</v>
      </c>
      <c r="H17" s="912">
        <f>ROUND(1750*Belarus*(1-B35),2)</f>
        <v>1750</v>
      </c>
      <c r="I17" s="908"/>
      <c r="J17" s="92" t="s">
        <v>1892</v>
      </c>
      <c r="K17" s="585" t="s">
        <v>4372</v>
      </c>
      <c r="L17" s="103" t="s">
        <v>1893</v>
      </c>
      <c r="M17" s="103" t="s">
        <v>4366</v>
      </c>
      <c r="N17" s="103" t="s">
        <v>4367</v>
      </c>
      <c r="O17" s="103" t="s">
        <v>1859</v>
      </c>
      <c r="P17" s="1530" t="s">
        <v>1860</v>
      </c>
      <c r="Q17" s="912">
        <f>ROUND(1560*Belarus*(1-B35),2)</f>
        <v>1560</v>
      </c>
    </row>
    <row r="18" spans="1:17" ht="42" customHeight="1">
      <c r="A18" s="92" t="s">
        <v>1881</v>
      </c>
      <c r="B18" s="585" t="s">
        <v>4374</v>
      </c>
      <c r="C18" s="103" t="s">
        <v>1882</v>
      </c>
      <c r="D18" s="103" t="s">
        <v>4385</v>
      </c>
      <c r="E18" s="103" t="s">
        <v>4367</v>
      </c>
      <c r="F18" s="103" t="s">
        <v>1850</v>
      </c>
      <c r="G18" s="1530"/>
      <c r="H18" s="912">
        <f>ROUND(3730*Belarus*(1-B35),2)</f>
        <v>3730</v>
      </c>
      <c r="I18" s="908"/>
      <c r="J18" s="92" t="s">
        <v>1897</v>
      </c>
      <c r="K18" s="585" t="s">
        <v>4389</v>
      </c>
      <c r="L18" s="103" t="s">
        <v>1898</v>
      </c>
      <c r="M18" s="103" t="s">
        <v>4366</v>
      </c>
      <c r="N18" s="103" t="s">
        <v>4367</v>
      </c>
      <c r="O18" s="103" t="s">
        <v>1859</v>
      </c>
      <c r="P18" s="1530"/>
      <c r="Q18" s="913">
        <f>ROUND(11150*Belarus*(1-B35),2)</f>
        <v>11150</v>
      </c>
    </row>
    <row r="19" spans="1:17" ht="42" customHeight="1">
      <c r="A19" s="92" t="s">
        <v>4376</v>
      </c>
      <c r="B19" s="585" t="s">
        <v>4377</v>
      </c>
      <c r="C19" s="103" t="s">
        <v>1906</v>
      </c>
      <c r="D19" s="103" t="s">
        <v>4390</v>
      </c>
      <c r="E19" s="103" t="s">
        <v>496</v>
      </c>
      <c r="F19" s="103" t="s">
        <v>4331</v>
      </c>
      <c r="G19" s="1530" t="s">
        <v>1869</v>
      </c>
      <c r="H19" s="912">
        <f>ROUND(1270*Belarus*(1-B35),2)</f>
        <v>1270</v>
      </c>
      <c r="I19" s="908"/>
      <c r="J19" s="92" t="s">
        <v>1901</v>
      </c>
      <c r="K19" s="585" t="s">
        <v>4391</v>
      </c>
      <c r="L19" s="103" t="s">
        <v>1902</v>
      </c>
      <c r="M19" s="103" t="s">
        <v>4366</v>
      </c>
      <c r="N19" s="103" t="s">
        <v>4367</v>
      </c>
      <c r="O19" s="103" t="s">
        <v>1903</v>
      </c>
      <c r="P19" s="1530"/>
      <c r="Q19" s="913">
        <f>ROUND(17600*Belarus*(1-B35),2)</f>
        <v>17600</v>
      </c>
    </row>
    <row r="20" spans="1:17" ht="67.5" customHeight="1">
      <c r="A20" s="92" t="s">
        <v>4379</v>
      </c>
      <c r="B20" s="585" t="s">
        <v>4380</v>
      </c>
      <c r="C20" s="103" t="s">
        <v>1910</v>
      </c>
      <c r="D20" s="103" t="s">
        <v>4390</v>
      </c>
      <c r="E20" s="103" t="s">
        <v>496</v>
      </c>
      <c r="F20" s="103" t="s">
        <v>4331</v>
      </c>
      <c r="G20" s="1530"/>
      <c r="H20" s="912">
        <f>ROUND(1750*Belarus*(1-B35),2)</f>
        <v>1750</v>
      </c>
      <c r="I20" s="908"/>
      <c r="J20" s="92" t="s">
        <v>1908</v>
      </c>
      <c r="K20" s="585" t="s">
        <v>4392</v>
      </c>
      <c r="L20" s="103" t="s">
        <v>4333</v>
      </c>
      <c r="M20" s="103" t="s">
        <v>4366</v>
      </c>
      <c r="N20" s="103" t="s">
        <v>4367</v>
      </c>
      <c r="O20" s="103" t="s">
        <v>1874</v>
      </c>
      <c r="P20" s="103" t="s">
        <v>1875</v>
      </c>
      <c r="Q20" s="913">
        <f>ROUND(1900*Belarus*(1-B35),2)</f>
        <v>1900</v>
      </c>
    </row>
    <row r="21" spans="1:17" ht="42" customHeight="1">
      <c r="A21" s="92" t="s">
        <v>1873</v>
      </c>
      <c r="B21" s="585" t="s">
        <v>4392</v>
      </c>
      <c r="C21" s="103" t="s">
        <v>4333</v>
      </c>
      <c r="D21" s="103" t="s">
        <v>4385</v>
      </c>
      <c r="E21" s="103" t="s">
        <v>4367</v>
      </c>
      <c r="F21" s="103" t="s">
        <v>1874</v>
      </c>
      <c r="G21" s="103" t="s">
        <v>1875</v>
      </c>
      <c r="H21" s="912">
        <f>ROUND(2050*Belarus*(1-B35),2)</f>
        <v>2050</v>
      </c>
      <c r="I21" s="908"/>
      <c r="J21" s="1351" t="s">
        <v>1914</v>
      </c>
      <c r="K21" s="1351"/>
      <c r="L21" s="1351"/>
      <c r="M21" s="1351"/>
      <c r="N21" s="1351"/>
      <c r="O21" s="1351"/>
      <c r="P21" s="1351"/>
      <c r="Q21" s="1351"/>
    </row>
    <row r="22" spans="1:17" ht="42" customHeight="1">
      <c r="A22" s="1351" t="s">
        <v>1879</v>
      </c>
      <c r="B22" s="1351"/>
      <c r="C22" s="1351"/>
      <c r="D22" s="1351"/>
      <c r="E22" s="1351"/>
      <c r="F22" s="1351"/>
      <c r="G22" s="1351"/>
      <c r="H22" s="1351"/>
      <c r="I22" s="908"/>
      <c r="J22" s="1351"/>
      <c r="K22" s="1351"/>
      <c r="L22" s="1351"/>
      <c r="M22" s="1351"/>
      <c r="N22" s="1351"/>
      <c r="O22" s="1351"/>
      <c r="P22" s="1351"/>
      <c r="Q22" s="1351"/>
    </row>
    <row r="23" spans="1:17" s="96" customFormat="1">
      <c r="A23" s="127"/>
      <c r="B23" s="127"/>
      <c r="C23" s="127"/>
      <c r="D23" s="127"/>
      <c r="E23" s="127"/>
      <c r="F23" s="127"/>
      <c r="G23" s="127"/>
      <c r="H23" s="127"/>
      <c r="I23" s="908"/>
      <c r="J23" s="127"/>
      <c r="K23" s="127"/>
      <c r="L23" s="127"/>
      <c r="M23" s="127"/>
      <c r="N23" s="127"/>
      <c r="O23" s="127"/>
      <c r="P23" s="127"/>
      <c r="Q23" s="127"/>
    </row>
    <row r="24" spans="1:17" s="96" customFormat="1" ht="15.75" customHeight="1">
      <c r="A24" s="1452" t="s">
        <v>420</v>
      </c>
      <c r="B24" s="1477"/>
      <c r="C24" s="1477"/>
      <c r="D24" s="1477"/>
      <c r="E24" s="1477"/>
      <c r="F24" s="1477"/>
      <c r="G24" s="1477"/>
      <c r="H24" s="1478"/>
      <c r="I24" s="908"/>
      <c r="J24" s="1566" t="s">
        <v>1830</v>
      </c>
      <c r="K24" s="1566"/>
      <c r="L24" s="1566"/>
      <c r="M24" s="1566"/>
      <c r="N24" s="1566"/>
      <c r="O24" s="1566"/>
      <c r="P24" s="1566"/>
      <c r="Q24" s="905" t="s">
        <v>624</v>
      </c>
    </row>
    <row r="25" spans="1:17" s="184" customFormat="1" ht="42" customHeight="1">
      <c r="A25" s="1532" t="s">
        <v>4393</v>
      </c>
      <c r="B25" s="1532"/>
      <c r="C25" s="1532"/>
      <c r="D25" s="1532"/>
      <c r="E25" s="1532"/>
      <c r="F25" s="1532"/>
      <c r="G25" s="1532"/>
      <c r="H25" s="1532"/>
      <c r="I25" s="908"/>
      <c r="J25" s="122"/>
      <c r="K25" s="1981" t="s">
        <v>578</v>
      </c>
      <c r="L25" s="1981"/>
      <c r="M25" s="1981"/>
      <c r="N25" s="1981"/>
      <c r="O25" s="1981"/>
      <c r="P25" s="1981"/>
      <c r="Q25" s="915">
        <f>230*Belarus</f>
        <v>230</v>
      </c>
    </row>
    <row r="26" spans="1:17" s="184" customFormat="1" ht="18" customHeight="1">
      <c r="A26" s="1365" t="s">
        <v>4394</v>
      </c>
      <c r="B26" s="1366"/>
      <c r="C26" s="1366"/>
      <c r="D26" s="1366"/>
      <c r="E26" s="1366"/>
      <c r="F26" s="1366"/>
      <c r="G26" s="1366"/>
      <c r="H26" s="1367"/>
      <c r="I26" s="908"/>
      <c r="J26" s="1530"/>
      <c r="K26" s="1981" t="s">
        <v>1834</v>
      </c>
      <c r="L26" s="1981"/>
      <c r="M26" s="1981"/>
      <c r="N26" s="1981"/>
      <c r="O26" s="1981"/>
      <c r="P26" s="1981"/>
      <c r="Q26" s="2196">
        <f>120*Belarus</f>
        <v>120</v>
      </c>
    </row>
    <row r="27" spans="1:17" s="184" customFormat="1" ht="18" customHeight="1">
      <c r="A27" s="1365" t="s">
        <v>4395</v>
      </c>
      <c r="B27" s="1366"/>
      <c r="C27" s="1366"/>
      <c r="D27" s="1366"/>
      <c r="E27" s="1366"/>
      <c r="F27" s="1366"/>
      <c r="G27" s="1366"/>
      <c r="H27" s="1367"/>
      <c r="I27" s="908"/>
      <c r="J27" s="1530"/>
      <c r="K27" s="1981"/>
      <c r="L27" s="1981"/>
      <c r="M27" s="1981"/>
      <c r="N27" s="1981"/>
      <c r="O27" s="1981"/>
      <c r="P27" s="1981"/>
      <c r="Q27" s="2197"/>
    </row>
    <row r="28" spans="1:17" s="184" customFormat="1" ht="13.5" customHeight="1">
      <c r="A28" s="1365" t="s">
        <v>4396</v>
      </c>
      <c r="B28" s="1366"/>
      <c r="C28" s="1366"/>
      <c r="D28" s="1366"/>
      <c r="E28" s="1366"/>
      <c r="F28" s="1366"/>
      <c r="G28" s="1366"/>
      <c r="H28" s="1367"/>
      <c r="I28" s="908"/>
    </row>
    <row r="29" spans="1:17" s="184" customFormat="1">
      <c r="B29" s="113"/>
      <c r="C29" s="113"/>
      <c r="D29" s="113"/>
      <c r="E29" s="113"/>
      <c r="F29" s="113"/>
      <c r="G29" s="113"/>
      <c r="H29" s="113"/>
      <c r="I29" s="113"/>
      <c r="J29" s="113"/>
      <c r="K29" s="113"/>
      <c r="L29" s="113"/>
      <c r="M29" s="113"/>
      <c r="N29" s="113"/>
      <c r="O29" s="113"/>
      <c r="P29" s="113"/>
    </row>
    <row r="34" spans="1:6">
      <c r="A34" s="1340" t="s">
        <v>1835</v>
      </c>
      <c r="B34" s="1629" t="s">
        <v>1927</v>
      </c>
      <c r="C34" s="1629"/>
      <c r="D34" s="1629"/>
      <c r="E34" s="1629"/>
      <c r="F34" s="1629"/>
    </row>
    <row r="35" spans="1:6">
      <c r="A35" s="1341"/>
      <c r="B35" s="2195">
        <v>0</v>
      </c>
      <c r="C35" s="2195"/>
      <c r="D35" s="2195"/>
      <c r="E35" s="2195"/>
      <c r="F35" s="2195"/>
    </row>
  </sheetData>
  <sheetProtection selectLockedCells="1" selectUnlockedCells="1"/>
  <mergeCells count="41">
    <mergeCell ref="A1:B1"/>
    <mergeCell ref="A3:Q3"/>
    <mergeCell ref="A5:A6"/>
    <mergeCell ref="B5:B6"/>
    <mergeCell ref="C5:E5"/>
    <mergeCell ref="F5:F6"/>
    <mergeCell ref="G5:G6"/>
    <mergeCell ref="H5:H6"/>
    <mergeCell ref="J5:J6"/>
    <mergeCell ref="K5:K6"/>
    <mergeCell ref="L5:N5"/>
    <mergeCell ref="O5:O6"/>
    <mergeCell ref="P5:P6"/>
    <mergeCell ref="Q5:Q6"/>
    <mergeCell ref="A7:H7"/>
    <mergeCell ref="J7:Q7"/>
    <mergeCell ref="G8:G10"/>
    <mergeCell ref="P8:P9"/>
    <mergeCell ref="P10:P11"/>
    <mergeCell ref="P12:P14"/>
    <mergeCell ref="A13:H13"/>
    <mergeCell ref="A14:H14"/>
    <mergeCell ref="G15:G16"/>
    <mergeCell ref="G17:G18"/>
    <mergeCell ref="P17:P19"/>
    <mergeCell ref="G19:G20"/>
    <mergeCell ref="J21:Q22"/>
    <mergeCell ref="A22:H22"/>
    <mergeCell ref="A24:H24"/>
    <mergeCell ref="J24:P24"/>
    <mergeCell ref="A25:H25"/>
    <mergeCell ref="K25:P25"/>
    <mergeCell ref="A26:H26"/>
    <mergeCell ref="J26:J27"/>
    <mergeCell ref="K26:P27"/>
    <mergeCell ref="Q26:Q27"/>
    <mergeCell ref="A27:H27"/>
    <mergeCell ref="A28:H28"/>
    <mergeCell ref="A34:A35"/>
    <mergeCell ref="B34:F34"/>
    <mergeCell ref="B35:F35"/>
  </mergeCells>
  <hyperlinks>
    <hyperlink ref="A1" location="Содержание прайса!A1" display="Вернуться в начало"/>
    <hyperlink ref="A1:B1" location="'Содержание прайса'!A1" display="Вернуться в начало"/>
  </hyperlinks>
  <printOptions horizontalCentered="1"/>
  <pageMargins left="0" right="0" top="0.47244094488188981" bottom="0" header="0" footer="0"/>
  <pageSetup paperSize="9" scale="55"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22</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AV99"/>
  <sheetViews>
    <sheetView zoomScale="70" zoomScaleNormal="70" workbookViewId="0">
      <pane ySplit="9" topLeftCell="A10" activePane="bottomLeft" state="frozen"/>
      <selection sqref="A1:D1"/>
      <selection pane="bottomLeft" sqref="A1:F1"/>
    </sheetView>
  </sheetViews>
  <sheetFormatPr defaultRowHeight="12.75"/>
  <cols>
    <col min="1" max="1" width="46" style="1" customWidth="1"/>
    <col min="2" max="2" width="8.42578125" style="1" customWidth="1"/>
    <col min="3" max="4" width="6.140625" style="1" customWidth="1"/>
    <col min="5" max="18" width="6" style="1" customWidth="1"/>
    <col min="19" max="19" width="2.85546875" style="1" customWidth="1"/>
    <col min="20" max="20" width="4.7109375" style="1" customWidth="1"/>
    <col min="21" max="21" width="6.42578125" style="1" customWidth="1"/>
    <col min="22" max="22" width="6.140625" style="1" customWidth="1"/>
    <col min="23" max="23" width="6.42578125" style="1" customWidth="1"/>
    <col min="24" max="24" width="3" style="1" customWidth="1"/>
    <col min="25" max="27" width="7.42578125" style="1" customWidth="1"/>
    <col min="28" max="28" width="10.140625" style="1" customWidth="1"/>
    <col min="29" max="29" width="7.28515625" style="1" customWidth="1"/>
    <col min="30" max="31" width="7.5703125" style="1" customWidth="1"/>
    <col min="32" max="32" width="7" style="1" customWidth="1"/>
    <col min="33" max="34" width="7.5703125" style="1" customWidth="1"/>
    <col min="35" max="35" width="7" style="1" customWidth="1"/>
    <col min="36" max="42" width="6" style="1" customWidth="1"/>
    <col min="43" max="43" width="7.5703125" style="1" customWidth="1"/>
    <col min="44" max="16384" width="9.140625" style="1"/>
  </cols>
  <sheetData>
    <row r="1" spans="1:44">
      <c r="A1" s="1666" t="s">
        <v>312</v>
      </c>
      <c r="B1" s="1666"/>
      <c r="C1" s="1666"/>
      <c r="D1" s="1666"/>
      <c r="E1" s="1666"/>
      <c r="F1" s="1666"/>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row>
    <row r="2" spans="1:44" ht="22.5" customHeight="1" thickBot="1">
      <c r="A2" s="1763" t="s">
        <v>4337</v>
      </c>
      <c r="B2" s="1763"/>
      <c r="C2" s="1763"/>
      <c r="D2" s="1763"/>
      <c r="E2" s="1763"/>
      <c r="F2" s="1763"/>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739"/>
      <c r="AL2" s="739"/>
      <c r="AM2" s="739"/>
      <c r="AN2" s="739"/>
      <c r="AO2" s="739"/>
      <c r="AP2" s="737" t="s">
        <v>313</v>
      </c>
      <c r="AQ2" s="1852">
        <v>43276</v>
      </c>
      <c r="AR2" s="1852"/>
    </row>
    <row r="3" spans="1:44" ht="15" customHeight="1">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O3" s="753"/>
      <c r="AP3" s="308" t="s">
        <v>1928</v>
      </c>
      <c r="AQ3" s="1853">
        <v>43276</v>
      </c>
      <c r="AR3" s="1853"/>
    </row>
    <row r="4" spans="1:44" ht="15" customHeight="1">
      <c r="A4" s="2200" t="s">
        <v>1929</v>
      </c>
      <c r="B4" s="2201"/>
      <c r="C4" s="2201"/>
      <c r="D4" s="2201"/>
      <c r="E4" s="2201"/>
      <c r="F4" s="2201"/>
      <c r="G4" s="2201"/>
      <c r="H4" s="2201"/>
      <c r="I4" s="2201"/>
      <c r="J4" s="2201"/>
      <c r="K4" s="2201"/>
      <c r="L4" s="2201"/>
      <c r="M4" s="2201"/>
      <c r="N4" s="2201"/>
      <c r="O4" s="2201"/>
      <c r="P4" s="2201"/>
      <c r="Q4" s="2201"/>
      <c r="R4" s="2202"/>
      <c r="S4" s="17"/>
      <c r="T4" s="2200" t="s">
        <v>1930</v>
      </c>
      <c r="U4" s="2201"/>
      <c r="V4" s="2201"/>
      <c r="W4" s="2201"/>
      <c r="X4" s="2201"/>
      <c r="Y4" s="2201"/>
      <c r="Z4" s="2201"/>
      <c r="AA4" s="2201"/>
      <c r="AB4" s="2201"/>
      <c r="AC4" s="2201"/>
      <c r="AD4" s="2201"/>
      <c r="AE4" s="2201"/>
      <c r="AF4" s="2201"/>
      <c r="AG4" s="2201"/>
      <c r="AH4" s="2201"/>
      <c r="AI4" s="2201"/>
      <c r="AJ4" s="2201"/>
      <c r="AK4" s="2201"/>
      <c r="AL4" s="2201"/>
      <c r="AM4" s="2201"/>
      <c r="AN4" s="2201"/>
      <c r="AO4" s="2201"/>
      <c r="AP4" s="2201"/>
      <c r="AQ4" s="2201"/>
      <c r="AR4" s="2202"/>
    </row>
    <row r="5" spans="1:44" ht="15" customHeight="1">
      <c r="A5" s="2203"/>
      <c r="B5" s="2204"/>
      <c r="C5" s="2204"/>
      <c r="D5" s="2204"/>
      <c r="E5" s="2204"/>
      <c r="F5" s="2204"/>
      <c r="G5" s="2204"/>
      <c r="H5" s="2204"/>
      <c r="I5" s="2204"/>
      <c r="J5" s="2204"/>
      <c r="K5" s="2204"/>
      <c r="L5" s="2204"/>
      <c r="M5" s="2204"/>
      <c r="N5" s="2204"/>
      <c r="O5" s="2204"/>
      <c r="P5" s="2204"/>
      <c r="Q5" s="2204"/>
      <c r="R5" s="2205"/>
      <c r="S5" s="17"/>
      <c r="T5" s="2203"/>
      <c r="U5" s="2204"/>
      <c r="V5" s="2204"/>
      <c r="W5" s="2204"/>
      <c r="X5" s="2204"/>
      <c r="Y5" s="2204"/>
      <c r="Z5" s="2204"/>
      <c r="AA5" s="2204"/>
      <c r="AB5" s="2204"/>
      <c r="AC5" s="2204"/>
      <c r="AD5" s="2204"/>
      <c r="AE5" s="2204"/>
      <c r="AF5" s="2204"/>
      <c r="AG5" s="2204"/>
      <c r="AH5" s="2204"/>
      <c r="AI5" s="2204"/>
      <c r="AJ5" s="2204"/>
      <c r="AK5" s="2204"/>
      <c r="AL5" s="2204"/>
      <c r="AM5" s="2204"/>
      <c r="AN5" s="2204"/>
      <c r="AO5" s="2204"/>
      <c r="AP5" s="2204"/>
      <c r="AQ5" s="2204"/>
      <c r="AR5" s="2205"/>
    </row>
    <row r="6" spans="1:44" ht="15" customHeight="1">
      <c r="A6" s="2206"/>
      <c r="B6" s="2207"/>
      <c r="C6" s="2207"/>
      <c r="D6" s="2207"/>
      <c r="E6" s="2207"/>
      <c r="F6" s="2207"/>
      <c r="G6" s="2207"/>
      <c r="H6" s="2207"/>
      <c r="I6" s="2207"/>
      <c r="J6" s="2207"/>
      <c r="K6" s="2207"/>
      <c r="L6" s="2207"/>
      <c r="M6" s="2207"/>
      <c r="N6" s="2207"/>
      <c r="O6" s="2207"/>
      <c r="P6" s="2207"/>
      <c r="Q6" s="2207"/>
      <c r="R6" s="2208"/>
      <c r="S6" s="17"/>
      <c r="T6" s="2206"/>
      <c r="U6" s="2207"/>
      <c r="V6" s="2207"/>
      <c r="W6" s="2207"/>
      <c r="X6" s="2207"/>
      <c r="Y6" s="2207"/>
      <c r="Z6" s="2207"/>
      <c r="AA6" s="2207"/>
      <c r="AB6" s="2207"/>
      <c r="AC6" s="2207"/>
      <c r="AD6" s="2207"/>
      <c r="AE6" s="2207"/>
      <c r="AF6" s="2207"/>
      <c r="AG6" s="2207"/>
      <c r="AH6" s="2207"/>
      <c r="AI6" s="2207"/>
      <c r="AJ6" s="2207"/>
      <c r="AK6" s="2207"/>
      <c r="AL6" s="2207"/>
      <c r="AM6" s="2207"/>
      <c r="AN6" s="2207"/>
      <c r="AO6" s="2207"/>
      <c r="AP6" s="2207"/>
      <c r="AQ6" s="2207"/>
      <c r="AR6" s="2208"/>
    </row>
    <row r="7" spans="1:44">
      <c r="A7" s="174" t="s">
        <v>1931</v>
      </c>
      <c r="B7" s="1566" t="s">
        <v>1932</v>
      </c>
      <c r="C7" s="1434" t="s">
        <v>1494</v>
      </c>
      <c r="D7" s="1435"/>
      <c r="E7" s="1435"/>
      <c r="F7" s="1435"/>
      <c r="G7" s="1435"/>
      <c r="H7" s="1435"/>
      <c r="I7" s="1435"/>
      <c r="J7" s="1435"/>
      <c r="K7" s="1435"/>
      <c r="L7" s="1435"/>
      <c r="M7" s="1435"/>
      <c r="N7" s="1435"/>
      <c r="O7" s="1435"/>
      <c r="P7" s="1435"/>
      <c r="Q7" s="1435"/>
      <c r="R7" s="1436"/>
      <c r="S7" s="52"/>
      <c r="T7" s="1491" t="s">
        <v>1931</v>
      </c>
      <c r="U7" s="1491"/>
      <c r="V7" s="1491"/>
      <c r="W7" s="1491"/>
      <c r="X7" s="1491"/>
      <c r="Y7" s="1491"/>
      <c r="Z7" s="1491"/>
      <c r="AA7" s="1491"/>
      <c r="AB7" s="1495" t="s">
        <v>1933</v>
      </c>
      <c r="AC7" s="1292" t="s">
        <v>1494</v>
      </c>
      <c r="AD7" s="1292"/>
      <c r="AE7" s="1292"/>
      <c r="AF7" s="1292"/>
      <c r="AG7" s="1292"/>
      <c r="AH7" s="1292"/>
      <c r="AI7" s="1292"/>
      <c r="AJ7" s="1292"/>
      <c r="AK7" s="1292"/>
      <c r="AL7" s="1292"/>
      <c r="AM7" s="1292"/>
      <c r="AN7" s="1292"/>
      <c r="AO7" s="1292"/>
      <c r="AP7" s="1292"/>
      <c r="AQ7" s="1292"/>
      <c r="AR7" s="1292"/>
    </row>
    <row r="8" spans="1:44">
      <c r="A8" s="2209" t="s">
        <v>1934</v>
      </c>
      <c r="B8" s="1930"/>
      <c r="C8" s="2211">
        <v>80</v>
      </c>
      <c r="D8" s="2211">
        <v>100</v>
      </c>
      <c r="E8" s="2211">
        <v>110</v>
      </c>
      <c r="F8" s="2211">
        <v>115</v>
      </c>
      <c r="G8" s="2211">
        <v>120</v>
      </c>
      <c r="H8" s="2211">
        <v>125</v>
      </c>
      <c r="I8" s="2211">
        <v>130</v>
      </c>
      <c r="J8" s="2211">
        <v>135</v>
      </c>
      <c r="K8" s="2211">
        <v>140</v>
      </c>
      <c r="L8" s="2211">
        <v>150</v>
      </c>
      <c r="M8" s="2211">
        <v>160</v>
      </c>
      <c r="N8" s="2211">
        <v>180</v>
      </c>
      <c r="O8" s="2211">
        <v>200</v>
      </c>
      <c r="P8" s="2211">
        <v>220</v>
      </c>
      <c r="Q8" s="2211">
        <v>250</v>
      </c>
      <c r="R8" s="2211">
        <v>300</v>
      </c>
      <c r="S8" s="52"/>
      <c r="T8" s="1283" t="s">
        <v>1935</v>
      </c>
      <c r="U8" s="1283"/>
      <c r="V8" s="1283"/>
      <c r="W8" s="1283"/>
      <c r="X8" s="1283"/>
      <c r="Y8" s="1283"/>
      <c r="Z8" s="1283"/>
      <c r="AA8" s="1283"/>
      <c r="AB8" s="1470"/>
      <c r="AC8" s="89">
        <v>80</v>
      </c>
      <c r="AD8" s="89">
        <v>100</v>
      </c>
      <c r="AE8" s="89">
        <v>110</v>
      </c>
      <c r="AF8" s="89">
        <v>115</v>
      </c>
      <c r="AG8" s="89">
        <v>120</v>
      </c>
      <c r="AH8" s="89">
        <v>130</v>
      </c>
      <c r="AI8" s="89">
        <v>135</v>
      </c>
      <c r="AJ8" s="89">
        <v>140</v>
      </c>
      <c r="AK8" s="89">
        <v>150</v>
      </c>
      <c r="AL8" s="89">
        <v>150</v>
      </c>
      <c r="AM8" s="89">
        <v>160</v>
      </c>
      <c r="AN8" s="89">
        <v>180</v>
      </c>
      <c r="AO8" s="89">
        <v>200</v>
      </c>
      <c r="AP8" s="89">
        <v>220</v>
      </c>
      <c r="AQ8" s="89">
        <v>250</v>
      </c>
      <c r="AR8" s="89">
        <v>300</v>
      </c>
    </row>
    <row r="9" spans="1:44">
      <c r="A9" s="2210"/>
      <c r="B9" s="1567"/>
      <c r="C9" s="1445"/>
      <c r="D9" s="1445"/>
      <c r="E9" s="1445"/>
      <c r="F9" s="1445"/>
      <c r="G9" s="1445"/>
      <c r="H9" s="1445"/>
      <c r="I9" s="1445"/>
      <c r="J9" s="1445"/>
      <c r="K9" s="1445"/>
      <c r="L9" s="1445"/>
      <c r="M9" s="1445"/>
      <c r="N9" s="1445"/>
      <c r="O9" s="1445"/>
      <c r="P9" s="1445"/>
      <c r="Q9" s="1445"/>
      <c r="R9" s="1445"/>
      <c r="S9" s="52"/>
      <c r="T9" s="1283" t="s">
        <v>1936</v>
      </c>
      <c r="U9" s="1283"/>
      <c r="V9" s="1283"/>
      <c r="W9" s="1283"/>
      <c r="X9" s="1283"/>
      <c r="Y9" s="1283"/>
      <c r="Z9" s="1283"/>
      <c r="AA9" s="1283"/>
      <c r="AB9" s="1496"/>
      <c r="AC9" s="89">
        <v>160</v>
      </c>
      <c r="AD9" s="89">
        <v>200</v>
      </c>
      <c r="AE9" s="89">
        <v>200</v>
      </c>
      <c r="AF9" s="89">
        <v>200</v>
      </c>
      <c r="AG9" s="89">
        <v>200</v>
      </c>
      <c r="AH9" s="89">
        <v>200</v>
      </c>
      <c r="AI9" s="89">
        <v>200</v>
      </c>
      <c r="AJ9" s="89">
        <v>210</v>
      </c>
      <c r="AK9" s="89">
        <v>210</v>
      </c>
      <c r="AL9" s="89">
        <v>250</v>
      </c>
      <c r="AM9" s="89">
        <v>250</v>
      </c>
      <c r="AN9" s="89">
        <v>280</v>
      </c>
      <c r="AO9" s="89">
        <v>280</v>
      </c>
      <c r="AP9" s="89">
        <v>300</v>
      </c>
      <c r="AQ9" s="89">
        <v>350</v>
      </c>
      <c r="AR9" s="89">
        <v>400</v>
      </c>
    </row>
    <row r="10" spans="1:44">
      <c r="A10" s="372" t="s">
        <v>1937</v>
      </c>
      <c r="B10" s="43" t="s">
        <v>1938</v>
      </c>
      <c r="C10" s="329">
        <f>ROUND(445*Belarus*(1-D99),2)</f>
        <v>445</v>
      </c>
      <c r="D10" s="329">
        <f>ROUND(407*Belarus*(1-D99),2)</f>
        <v>407</v>
      </c>
      <c r="E10" s="329">
        <f>ROUND(445*Belarus*(1-D99),2)</f>
        <v>445</v>
      </c>
      <c r="F10" s="329">
        <f>ROUND(465*Belarus*(1-D99),2)</f>
        <v>465</v>
      </c>
      <c r="G10" s="329">
        <f>ROUND(484*Belarus*(1-D99),2)</f>
        <v>484</v>
      </c>
      <c r="H10" s="329">
        <f>ROUND(523*Belarus*(1-D99),2)</f>
        <v>523</v>
      </c>
      <c r="I10" s="329">
        <f>ROUND(523*Belarus*(1-D99),2)</f>
        <v>523</v>
      </c>
      <c r="J10" s="329">
        <f>ROUND(542*Belarus*(1-D99),2)</f>
        <v>542</v>
      </c>
      <c r="K10" s="329">
        <f>ROUND(562*Belarus*(1-D99),2)</f>
        <v>562</v>
      </c>
      <c r="L10" s="329">
        <f>ROUND(603*Belarus*(1-D99),2)</f>
        <v>603</v>
      </c>
      <c r="M10" s="329">
        <f>ROUND(642*Belarus*(1-D99),2)</f>
        <v>642</v>
      </c>
      <c r="N10" s="329">
        <f>ROUND(723*Belarus*(1-D99),2)</f>
        <v>723</v>
      </c>
      <c r="O10" s="329">
        <f>ROUND(780*Belarus*(1-D99),2)</f>
        <v>780</v>
      </c>
      <c r="P10" s="329">
        <f>ROUND(870*Belarus*(1-D99),2)</f>
        <v>870</v>
      </c>
      <c r="Q10" s="329">
        <f>ROUND(995*Belarus*(1-D99),2)</f>
        <v>995</v>
      </c>
      <c r="R10" s="329">
        <f>ROUND(1186*Belarus*(1-D99),2)</f>
        <v>1186</v>
      </c>
      <c r="S10" s="52"/>
      <c r="T10" s="1910" t="s">
        <v>1939</v>
      </c>
      <c r="U10" s="2212"/>
      <c r="V10" s="2212"/>
      <c r="W10" s="2212"/>
      <c r="X10" s="2212"/>
      <c r="Y10" s="2212"/>
      <c r="Z10" s="2212"/>
      <c r="AA10" s="1911"/>
      <c r="AB10" s="43" t="s">
        <v>1940</v>
      </c>
      <c r="AC10" s="329">
        <f>ROUND(1061*Belarus*(1-D99),2)</f>
        <v>1061</v>
      </c>
      <c r="AD10" s="329" t="s">
        <v>369</v>
      </c>
      <c r="AE10" s="329">
        <f>ROUND(1315*Belarus*(1-D99),2)</f>
        <v>1315</v>
      </c>
      <c r="AF10" s="329">
        <f>ROUND(1328*Belarus*(1-D99),2)</f>
        <v>1328</v>
      </c>
      <c r="AG10" s="329">
        <f>ROUND(1341*Belarus*(1-D99),2)</f>
        <v>1341</v>
      </c>
      <c r="AH10" s="329">
        <f>ROUND(1394*Belarus*(1-D99),2)</f>
        <v>1394</v>
      </c>
      <c r="AI10" s="329">
        <f>ROUND(1462*Belarus*(1-D99),2)</f>
        <v>1462</v>
      </c>
      <c r="AJ10" s="329" t="s">
        <v>369</v>
      </c>
      <c r="AK10" s="329">
        <f>ROUND(1484*Belarus*(1-D99),2)</f>
        <v>1484</v>
      </c>
      <c r="AL10" s="329">
        <f>ROUND(1734*Belarus*(1-D99),2)</f>
        <v>1734</v>
      </c>
      <c r="AM10" s="329">
        <f>ROUND(1754*Belarus*(1-D99),2)</f>
        <v>1754</v>
      </c>
      <c r="AN10" s="329">
        <f>ROUND(2021*Belarus*(1-D99),2)</f>
        <v>2021</v>
      </c>
      <c r="AO10" s="329">
        <f>ROUND(2054*Belarus*(1-D99),2)</f>
        <v>2054</v>
      </c>
      <c r="AP10" s="329" t="s">
        <v>369</v>
      </c>
      <c r="AQ10" s="329">
        <f>ROUND(2780*Belarus*(1-D99),2)</f>
        <v>2780</v>
      </c>
      <c r="AR10" s="329">
        <f>ROUND(3269*Belarus*(1-D99),2)</f>
        <v>3269</v>
      </c>
    </row>
    <row r="11" spans="1:44">
      <c r="A11" s="372" t="s">
        <v>1941</v>
      </c>
      <c r="B11" s="43" t="s">
        <v>1938</v>
      </c>
      <c r="C11" s="329">
        <f>ROUND(305*Belarus*(1-D99),2)</f>
        <v>305</v>
      </c>
      <c r="D11" s="329">
        <f>ROUND(272*Belarus*(1-D99),2)</f>
        <v>272</v>
      </c>
      <c r="E11" s="329">
        <f>ROUND(295*Belarus*(1-D99),2)</f>
        <v>295</v>
      </c>
      <c r="F11" s="329">
        <f>ROUND(306*Belarus*(1-D99),2)</f>
        <v>306</v>
      </c>
      <c r="G11" s="329">
        <f>ROUND(317*Belarus*(1-D99),2)</f>
        <v>317</v>
      </c>
      <c r="H11" s="329">
        <f>ROUND(339*Belarus*(1-D99),2)</f>
        <v>339</v>
      </c>
      <c r="I11" s="329">
        <f>ROUND(339*Belarus*(1-D99),2)</f>
        <v>339</v>
      </c>
      <c r="J11" s="329">
        <f>ROUND(350*Belarus*(1-D99),2)</f>
        <v>350</v>
      </c>
      <c r="K11" s="329">
        <f>ROUND(361*Belarus*(1-D99),2)</f>
        <v>361</v>
      </c>
      <c r="L11" s="329">
        <f>ROUND(386*Belarus*(1-D99),2)</f>
        <v>386</v>
      </c>
      <c r="M11" s="329">
        <f>ROUND(424*Belarus*(1-D99),2)</f>
        <v>424</v>
      </c>
      <c r="N11" s="329">
        <f>ROUND(457*Belarus*(1-D99),2)</f>
        <v>457</v>
      </c>
      <c r="O11" s="329">
        <f>ROUND(501*Belarus*(1-D99),2)</f>
        <v>501</v>
      </c>
      <c r="P11" s="329">
        <f>ROUND(566*Belarus*(1-D99),2)</f>
        <v>566</v>
      </c>
      <c r="Q11" s="329">
        <f>ROUND(648*Belarus*(1-D99),2)</f>
        <v>648</v>
      </c>
      <c r="R11" s="329">
        <f>ROUND(819*Belarus*(1-D99),2)</f>
        <v>819</v>
      </c>
      <c r="S11" s="52"/>
      <c r="T11" s="1914"/>
      <c r="U11" s="2213"/>
      <c r="V11" s="2213"/>
      <c r="W11" s="2213"/>
      <c r="X11" s="2213"/>
      <c r="Y11" s="2213"/>
      <c r="Z11" s="2213"/>
      <c r="AA11" s="1915"/>
      <c r="AB11" s="43" t="s">
        <v>1938</v>
      </c>
      <c r="AC11" s="329">
        <f>ROUND(1410*Belarus*(1-D99),2)</f>
        <v>1410</v>
      </c>
      <c r="AD11" s="329">
        <f>ROUND(1723*Belarus*(1-D99),2)</f>
        <v>1723</v>
      </c>
      <c r="AE11" s="329">
        <f>ROUND(1750*Belarus*(1-D99),2)</f>
        <v>1750</v>
      </c>
      <c r="AF11" s="329">
        <f>ROUND(1764*Belarus*(1-D99),2)</f>
        <v>1764</v>
      </c>
      <c r="AG11" s="329">
        <f>ROUND(1777*Belarus*(1-D99),2)</f>
        <v>1777</v>
      </c>
      <c r="AH11" s="329">
        <f>ROUND(1829*Belarus*(1-D99),2)</f>
        <v>1829</v>
      </c>
      <c r="AI11" s="329">
        <f>ROUND(1920*Belarus*(1-D99),2)</f>
        <v>1920</v>
      </c>
      <c r="AJ11" s="329">
        <f>ROUND(1920*Belarus*(1-D99),2)</f>
        <v>1920</v>
      </c>
      <c r="AK11" s="329">
        <f>ROUND(1942*Belarus*(1-D99),2)</f>
        <v>1942</v>
      </c>
      <c r="AL11" s="329">
        <f>ROUND(2393*Belarus*(1-D99),2)</f>
        <v>2393</v>
      </c>
      <c r="AM11" s="329">
        <f>ROUND(2413*Belarus*(1-D99),2)</f>
        <v>2413</v>
      </c>
      <c r="AN11" s="329">
        <f>ROUND(2759*Belarus*(1-D99),2)</f>
        <v>2759</v>
      </c>
      <c r="AO11" s="329">
        <f>ROUND(2791*Belarus*(1-D99),2)</f>
        <v>2791</v>
      </c>
      <c r="AP11" s="329">
        <f>ROUND(3108*Belarus*(1-D99),2)</f>
        <v>3108</v>
      </c>
      <c r="AQ11" s="329">
        <f>ROUND(3702*Belarus*(1-D99),2)</f>
        <v>3702</v>
      </c>
      <c r="AR11" s="329">
        <f>ROUND(4322*Belarus*(1-D99),2)</f>
        <v>4322</v>
      </c>
    </row>
    <row r="12" spans="1:44">
      <c r="A12" s="372" t="s">
        <v>1942</v>
      </c>
      <c r="B12" s="43" t="s">
        <v>1938</v>
      </c>
      <c r="C12" s="329">
        <f>ROUND(180*Belarus*(1-D99),2)</f>
        <v>180</v>
      </c>
      <c r="D12" s="329">
        <f>ROUND(184*Belarus*(1-D99),2)</f>
        <v>184</v>
      </c>
      <c r="E12" s="329">
        <f>ROUND(197*Belarus*(1-D99),2)</f>
        <v>197</v>
      </c>
      <c r="F12" s="329">
        <f>ROUND(197*Belarus*(1-D99),2)</f>
        <v>197</v>
      </c>
      <c r="G12" s="329">
        <f>ROUND(203*Belarus*(1-D99),2)</f>
        <v>203</v>
      </c>
      <c r="H12" s="329">
        <f>ROUND(215*Belarus*(1-D99),2)</f>
        <v>215</v>
      </c>
      <c r="I12" s="329">
        <f>ROUND(215*Belarus*(1-D99),2)</f>
        <v>215</v>
      </c>
      <c r="J12" s="329">
        <f>ROUND(221*Belarus*(1-D99),2)</f>
        <v>221</v>
      </c>
      <c r="K12" s="329">
        <f>ROUND(228*Belarus*(1-D99),2)</f>
        <v>228</v>
      </c>
      <c r="L12" s="329">
        <f>ROUND(244*Belarus*(1-D99),2)</f>
        <v>244</v>
      </c>
      <c r="M12" s="329">
        <f>ROUND(265*Belarus*(1-D99),2)</f>
        <v>265</v>
      </c>
      <c r="N12" s="329">
        <f>ROUND(285*Belarus*(1-D99),2)</f>
        <v>285</v>
      </c>
      <c r="O12" s="329">
        <f>ROUND(310*Belarus*(1-D99),2)</f>
        <v>310</v>
      </c>
      <c r="P12" s="329">
        <f>ROUND(335*Belarus*(1-D99),2)</f>
        <v>335</v>
      </c>
      <c r="Q12" s="329">
        <f>ROUND(386*Belarus*(1-D99),2)</f>
        <v>386</v>
      </c>
      <c r="R12" s="329">
        <f>ROUND(447*Belarus*(1-D99),2)</f>
        <v>447</v>
      </c>
      <c r="S12" s="52"/>
      <c r="T12" s="1910" t="s">
        <v>1943</v>
      </c>
      <c r="U12" s="2212"/>
      <c r="V12" s="2212"/>
      <c r="W12" s="2212"/>
      <c r="X12" s="2212"/>
      <c r="Y12" s="2212"/>
      <c r="Z12" s="2212"/>
      <c r="AA12" s="1911"/>
      <c r="AB12" s="43" t="s">
        <v>1940</v>
      </c>
      <c r="AC12" s="329">
        <f>ROUND(720*Belarus*(1-D99),2)</f>
        <v>720</v>
      </c>
      <c r="AD12" s="329">
        <f>ROUND(870*Belarus*(1-D99),2)</f>
        <v>870</v>
      </c>
      <c r="AE12" s="329">
        <f>ROUND(881*Belarus*(1-D99),2)</f>
        <v>881</v>
      </c>
      <c r="AF12" s="329">
        <f>ROUND(884*Belarus*(1-D99),2)</f>
        <v>884</v>
      </c>
      <c r="AG12" s="329">
        <f>ROUND(889*Belarus*(1-D99),2)</f>
        <v>889</v>
      </c>
      <c r="AH12" s="329">
        <f>ROUND(927*Belarus*(1-D99),2)</f>
        <v>927</v>
      </c>
      <c r="AI12" s="329">
        <f>ROUND(927*Belarus*(1-D99),2)</f>
        <v>927</v>
      </c>
      <c r="AJ12" s="329" t="s">
        <v>369</v>
      </c>
      <c r="AK12" s="329">
        <f>ROUND(974*Belarus*(1-D99),2)</f>
        <v>974</v>
      </c>
      <c r="AL12" s="329">
        <f>ROUND(1169*Belarus*(1-D99),2)</f>
        <v>1169</v>
      </c>
      <c r="AM12" s="329">
        <f>ROUND(1172*Belarus*(1-D99),2)</f>
        <v>1172</v>
      </c>
      <c r="AN12" s="329">
        <f>ROUND(1362*Belarus*(1-D99),2)</f>
        <v>1362</v>
      </c>
      <c r="AO12" s="329">
        <f>ROUND(1362*Belarus*(1-D99),2)</f>
        <v>1362</v>
      </c>
      <c r="AP12" s="329" t="s">
        <v>369</v>
      </c>
      <c r="AQ12" s="329">
        <f>ROUND(1916*Belarus*(1-D99),2)</f>
        <v>1916</v>
      </c>
      <c r="AR12" s="329">
        <f>ROUND(2260*Belarus*(1-D99),2)</f>
        <v>2260</v>
      </c>
    </row>
    <row r="13" spans="1:44">
      <c r="A13" s="399" t="s">
        <v>1944</v>
      </c>
      <c r="B13" s="43" t="s">
        <v>1938</v>
      </c>
      <c r="C13" s="329">
        <f>ROUND(110*Belarus*(1-D99),2)</f>
        <v>110</v>
      </c>
      <c r="D13" s="329">
        <f>ROUND(122*Belarus*(1-D99),2)</f>
        <v>122</v>
      </c>
      <c r="E13" s="329">
        <f>ROUND(129*Belarus*(1-D99),2)</f>
        <v>129</v>
      </c>
      <c r="F13" s="329">
        <f>ROUND(134*Belarus*(1-D99),2)</f>
        <v>134</v>
      </c>
      <c r="G13" s="329">
        <f>ROUND(138*Belarus*(1-D99),2)</f>
        <v>138</v>
      </c>
      <c r="H13" s="329">
        <f>ROUND(146*Belarus*(1-D99),2)</f>
        <v>146</v>
      </c>
      <c r="I13" s="329">
        <f>ROUND(146*Belarus*(1-D99),2)</f>
        <v>146</v>
      </c>
      <c r="J13" s="329">
        <f>ROUND(151*Belarus*(1-D99),2)</f>
        <v>151</v>
      </c>
      <c r="K13" s="329">
        <f>ROUND(155*Belarus*(1-D99),2)</f>
        <v>155</v>
      </c>
      <c r="L13" s="329">
        <f>ROUND(163*Belarus*(1-D99),2)</f>
        <v>163</v>
      </c>
      <c r="M13" s="329">
        <f>ROUND(172*Belarus*(1-D99),2)</f>
        <v>172</v>
      </c>
      <c r="N13" s="329">
        <f>ROUND(189*Belarus*(1-D99),2)</f>
        <v>189</v>
      </c>
      <c r="O13" s="329">
        <f>ROUND(204*Belarus*(1-D99),2)</f>
        <v>204</v>
      </c>
      <c r="P13" s="329">
        <f>ROUND(212*Belarus*(1-D99),2)</f>
        <v>212</v>
      </c>
      <c r="Q13" s="329">
        <f>ROUND(237*Belarus*(1-D99),2)</f>
        <v>237</v>
      </c>
      <c r="R13" s="329">
        <f>ROUND(274*Belarus*(1-D99),2)</f>
        <v>274</v>
      </c>
      <c r="S13" s="52"/>
      <c r="T13" s="1914"/>
      <c r="U13" s="2213"/>
      <c r="V13" s="2213"/>
      <c r="W13" s="2213"/>
      <c r="X13" s="2213"/>
      <c r="Y13" s="2213"/>
      <c r="Z13" s="2213"/>
      <c r="AA13" s="1915"/>
      <c r="AB13" s="43" t="s">
        <v>1938</v>
      </c>
      <c r="AC13" s="329">
        <f>ROUND(955*Belarus*(1-D99),2)</f>
        <v>955</v>
      </c>
      <c r="AD13" s="329">
        <f>ROUND(1164*Belarus*(1-D99),2)</f>
        <v>1164</v>
      </c>
      <c r="AE13" s="329">
        <f>ROUND(1173*Belarus*(1-D99),2)</f>
        <v>1173</v>
      </c>
      <c r="AF13" s="329">
        <f>ROUND(1179*Belarus*(1-D99),2)</f>
        <v>1179</v>
      </c>
      <c r="AG13" s="329">
        <f>ROUND(1183*Belarus*(1-D99),2)</f>
        <v>1183</v>
      </c>
      <c r="AH13" s="329">
        <f>ROUND(1221*Belarus*(1-D99),2)</f>
        <v>1221</v>
      </c>
      <c r="AI13" s="329">
        <f>ROUND(1221*Belarus*(1-D99),2)</f>
        <v>1221</v>
      </c>
      <c r="AJ13" s="329">
        <f>ROUND(1276*Belarus*(1-D99),2)</f>
        <v>1276</v>
      </c>
      <c r="AK13" s="329">
        <f>ROUND(1282*Belarus*(1-D99),2)</f>
        <v>1282</v>
      </c>
      <c r="AL13" s="329">
        <f>ROUND(1536*Belarus*(1-D99),2)</f>
        <v>1536</v>
      </c>
      <c r="AM13" s="329">
        <f>ROUND(1539*Belarus*(1-D99),2)</f>
        <v>1539</v>
      </c>
      <c r="AN13" s="329">
        <f>ROUND(1774*Belarus*(1-D99),2)</f>
        <v>1774</v>
      </c>
      <c r="AO13" s="329">
        <f>ROUND(1774*Belarus*(1-D99),2)</f>
        <v>1774</v>
      </c>
      <c r="AP13" s="329">
        <f>ROUND(2008*Belarus*(1-D99),2)</f>
        <v>2008</v>
      </c>
      <c r="AQ13" s="329">
        <f>ROUND(2430*Belarus*(1-D99),2)</f>
        <v>2430</v>
      </c>
      <c r="AR13" s="329">
        <f>ROUND(2848*Belarus*(1-D99),2)</f>
        <v>2848</v>
      </c>
    </row>
    <row r="14" spans="1:44">
      <c r="A14" s="399" t="s">
        <v>1945</v>
      </c>
      <c r="B14" s="43" t="s">
        <v>1938</v>
      </c>
      <c r="C14" s="329">
        <f>ROUND(431*Belarus*(1-D99),2)</f>
        <v>431</v>
      </c>
      <c r="D14" s="329">
        <f>ROUND(485*Belarus*(1-D99),2)</f>
        <v>485</v>
      </c>
      <c r="E14" s="329">
        <f>ROUND(514*Belarus*(1-D99),2)</f>
        <v>514</v>
      </c>
      <c r="F14" s="329">
        <f>ROUND(529*Belarus*(1-D99),2)</f>
        <v>529</v>
      </c>
      <c r="G14" s="329">
        <f>ROUND(542*Belarus*(1-D99),2)</f>
        <v>542</v>
      </c>
      <c r="H14" s="329">
        <f>ROUND(574*Belarus*(1-D99),2)</f>
        <v>574</v>
      </c>
      <c r="I14" s="329">
        <f>ROUND(574*Belarus*(1-D99),2)</f>
        <v>574</v>
      </c>
      <c r="J14" s="329">
        <f>ROUND(604*Belarus*(1-D99),2)</f>
        <v>604</v>
      </c>
      <c r="K14" s="329">
        <f>ROUND(604*Belarus*(1-D99),2)</f>
        <v>604</v>
      </c>
      <c r="L14" s="329">
        <f>ROUND(636*Belarus*(1-D99),2)</f>
        <v>636</v>
      </c>
      <c r="M14" s="329">
        <f>ROUND(667*Belarus*(1-D99),2)</f>
        <v>667</v>
      </c>
      <c r="N14" s="329">
        <f>ROUND(735*Belarus*(1-D99),2)</f>
        <v>735</v>
      </c>
      <c r="O14" s="329">
        <f>ROUND(864*Belarus*(1-D99),2)</f>
        <v>864</v>
      </c>
      <c r="P14" s="329">
        <f>ROUND(964*Belarus*(1-D99),2)</f>
        <v>964</v>
      </c>
      <c r="Q14" s="329">
        <f>ROUND(1111*Belarus*(1-D99),2)</f>
        <v>1111</v>
      </c>
      <c r="R14" s="329">
        <f>ROUND(1468*Belarus*(1-D99),2)</f>
        <v>1468</v>
      </c>
      <c r="S14" s="52"/>
      <c r="T14" s="1910" t="s">
        <v>1946</v>
      </c>
      <c r="U14" s="2212"/>
      <c r="V14" s="2212"/>
      <c r="W14" s="2212"/>
      <c r="X14" s="2212"/>
      <c r="Y14" s="2212"/>
      <c r="Z14" s="2212"/>
      <c r="AA14" s="1911"/>
      <c r="AB14" s="43" t="s">
        <v>1940</v>
      </c>
      <c r="AC14" s="329">
        <f>ROUND(534*Belarus*(1-D99),2)</f>
        <v>534</v>
      </c>
      <c r="AD14" s="329">
        <f>ROUND(616*Belarus*(1-D99),2)</f>
        <v>616</v>
      </c>
      <c r="AE14" s="329">
        <f>ROUND(623*Belarus*(1-D99),2)</f>
        <v>623</v>
      </c>
      <c r="AF14" s="329">
        <f>ROUND(625*Belarus*(1-D99),2)</f>
        <v>625</v>
      </c>
      <c r="AG14" s="329">
        <f>ROUND(628*Belarus*(1-D99),2)</f>
        <v>628</v>
      </c>
      <c r="AH14" s="329">
        <f>ROUND(666*Belarus*(1-D99),2)</f>
        <v>666</v>
      </c>
      <c r="AI14" s="329">
        <f>ROUND(666*Belarus*(1-D99),2)</f>
        <v>666</v>
      </c>
      <c r="AJ14" s="329" t="s">
        <v>369</v>
      </c>
      <c r="AK14" s="329">
        <f>ROUND(692*Belarus*(1-D99),2)</f>
        <v>692</v>
      </c>
      <c r="AL14" s="329">
        <f>ROUND(825*Belarus*(1-D99),2)</f>
        <v>825</v>
      </c>
      <c r="AM14" s="329">
        <f>ROUND(827*Belarus*(1-D99),2)</f>
        <v>827</v>
      </c>
      <c r="AN14" s="329">
        <f>ROUND(965*Belarus*(1-D99),2)</f>
        <v>965</v>
      </c>
      <c r="AO14" s="329">
        <f>ROUND(965*Belarus*(1-D99),2)</f>
        <v>965</v>
      </c>
      <c r="AP14" s="329" t="s">
        <v>369</v>
      </c>
      <c r="AQ14" s="329">
        <f>ROUND(1407*Belarus*(1-D99),2)</f>
        <v>1407</v>
      </c>
      <c r="AR14" s="329">
        <f>ROUND(1664*Belarus*(1-D99),2)</f>
        <v>1664</v>
      </c>
    </row>
    <row r="15" spans="1:44">
      <c r="A15" s="399" t="s">
        <v>1952</v>
      </c>
      <c r="B15" s="43" t="s">
        <v>1938</v>
      </c>
      <c r="C15" s="329">
        <f>ROUND(573*Belarus*(1-D99),2)</f>
        <v>573</v>
      </c>
      <c r="D15" s="329">
        <f>ROUND(603*Belarus*(1-D99),2)</f>
        <v>603</v>
      </c>
      <c r="E15" s="329">
        <f>ROUND(660*Belarus*(1-D99),2)</f>
        <v>660</v>
      </c>
      <c r="F15" s="329">
        <f>ROUND(660*Belarus*(1-D99),2)</f>
        <v>660</v>
      </c>
      <c r="G15" s="329">
        <f>ROUND(665*Belarus*(1-D99),2)</f>
        <v>665</v>
      </c>
      <c r="H15" s="329">
        <f>ROUND(840*Belarus*(1-D99),2)</f>
        <v>840</v>
      </c>
      <c r="I15" s="329">
        <f>ROUND(843*Belarus*(1-D99),2)</f>
        <v>843</v>
      </c>
      <c r="J15" s="329">
        <f>ROUND(849*Belarus*(1-D99),2)</f>
        <v>849</v>
      </c>
      <c r="K15" s="329">
        <f>ROUND(852*Belarus*(1-D99),2)</f>
        <v>852</v>
      </c>
      <c r="L15" s="329">
        <f>ROUND(1189*Belarus*(1-D99),2)</f>
        <v>1189</v>
      </c>
      <c r="M15" s="329">
        <f>ROUND(1195*Belarus*(1-D99),2)</f>
        <v>1195</v>
      </c>
      <c r="N15" s="329">
        <f>ROUND(1567*Belarus*(1-D99),2)</f>
        <v>1567</v>
      </c>
      <c r="O15" s="329">
        <f>ROUND(1569*Belarus*(1-D99),2)</f>
        <v>1569</v>
      </c>
      <c r="P15" s="329">
        <f>ROUND(2293*Belarus*(1-D99),2)</f>
        <v>2293</v>
      </c>
      <c r="Q15" s="329">
        <f>ROUND(2295*Belarus*(1-D99),2)</f>
        <v>2295</v>
      </c>
      <c r="R15" s="329">
        <f>ROUND(4446*Belarus*(1-D99),2)</f>
        <v>4446</v>
      </c>
      <c r="S15" s="52"/>
      <c r="T15" s="1914"/>
      <c r="U15" s="2213"/>
      <c r="V15" s="2213"/>
      <c r="W15" s="2213"/>
      <c r="X15" s="2213"/>
      <c r="Y15" s="2213"/>
      <c r="Z15" s="2213"/>
      <c r="AA15" s="1915"/>
      <c r="AB15" s="43" t="s">
        <v>1938</v>
      </c>
      <c r="AC15" s="329">
        <f>ROUND(664*Belarus*(1-D99),2)</f>
        <v>664</v>
      </c>
      <c r="AD15" s="329">
        <f>ROUND(780*Belarus*(1-D99),2)</f>
        <v>780</v>
      </c>
      <c r="AE15" s="329">
        <f>ROUND(786*Belarus*(1-D99),2)</f>
        <v>786</v>
      </c>
      <c r="AF15" s="329">
        <f>ROUND(789*Belarus*(1-D99),2)</f>
        <v>789</v>
      </c>
      <c r="AG15" s="329">
        <f>ROUND(791*Belarus*(1-D99),2)</f>
        <v>791</v>
      </c>
      <c r="AH15" s="329">
        <f>ROUND(829*Belarus*(1-D99),2)</f>
        <v>829</v>
      </c>
      <c r="AI15" s="329">
        <f>ROUND(829*Belarus*(1-D99),2)</f>
        <v>829</v>
      </c>
      <c r="AJ15" s="329">
        <f>ROUND(860*Belarus*(1-D99),2)</f>
        <v>860</v>
      </c>
      <c r="AK15" s="329">
        <f>ROUND(862*Belarus*(1-D99),2)</f>
        <v>862</v>
      </c>
      <c r="AL15" s="329">
        <f>ROUND(1029*Belarus*(1-D99),2)</f>
        <v>1029</v>
      </c>
      <c r="AM15" s="329">
        <f>ROUND(1031*Belarus*(1-D99),2)</f>
        <v>1031</v>
      </c>
      <c r="AN15" s="329">
        <f>ROUND(1194*Belarus*(1-D99),2)</f>
        <v>1194</v>
      </c>
      <c r="AO15" s="329">
        <f>ROUND(1194*Belarus*(1-D99),2)</f>
        <v>1194</v>
      </c>
      <c r="AP15" s="329">
        <f>ROUND(1392*Belarus*(1-D99),2)</f>
        <v>1392</v>
      </c>
      <c r="AQ15" s="329">
        <f>ROUND(1692*Belarus*(1-D99),2)</f>
        <v>1692</v>
      </c>
      <c r="AR15" s="329">
        <f>ROUND(1991*Belarus*(1-D99),2)</f>
        <v>1991</v>
      </c>
    </row>
    <row r="16" spans="1:44" ht="25.5" customHeight="1">
      <c r="A16" s="399" t="s">
        <v>1953</v>
      </c>
      <c r="B16" s="43" t="s">
        <v>1938</v>
      </c>
      <c r="C16" s="329">
        <f>ROUND(441*Belarus*(1-D99),2)</f>
        <v>441</v>
      </c>
      <c r="D16" s="329">
        <f>ROUND(495*Belarus*(1-D99),2)</f>
        <v>495</v>
      </c>
      <c r="E16" s="329">
        <f>ROUND(513*Belarus*(1-D99),2)</f>
        <v>513</v>
      </c>
      <c r="F16" s="329">
        <f>ROUND(540*Belarus*(1-D99),2)</f>
        <v>540</v>
      </c>
      <c r="G16" s="329">
        <f>ROUND(570*Belarus*(1-D99),2)</f>
        <v>570</v>
      </c>
      <c r="H16" s="329">
        <f>ROUND(573*Belarus*(1-D99),2)</f>
        <v>573</v>
      </c>
      <c r="I16" s="329">
        <f>ROUND(601*Belarus*(1-D99),2)</f>
        <v>601</v>
      </c>
      <c r="J16" s="329">
        <f>ROUND(601*Belarus*(1-D99),2)</f>
        <v>601</v>
      </c>
      <c r="K16" s="329">
        <f>ROUND(638*Belarus*(1-D99),2)</f>
        <v>638</v>
      </c>
      <c r="L16" s="329">
        <f>ROUND(643*Belarus*(1-D99),2)</f>
        <v>643</v>
      </c>
      <c r="M16" s="329">
        <f>ROUND(684*Belarus*(1-D99),2)</f>
        <v>684</v>
      </c>
      <c r="N16" s="329">
        <f>ROUND(971*Belarus*(1-D99),2)</f>
        <v>971</v>
      </c>
      <c r="O16" s="329">
        <f>ROUND(1091*Belarus*(1-D99),2)</f>
        <v>1091</v>
      </c>
      <c r="P16" s="329">
        <f>ROUND(1245*Belarus*(1-D99),2)</f>
        <v>1245</v>
      </c>
      <c r="Q16" s="329">
        <f>ROUND(1450*Belarus*(1-D99),2)</f>
        <v>1450</v>
      </c>
      <c r="R16" s="329">
        <f>ROUND(1844*Belarus*(1-D99),2)</f>
        <v>1844</v>
      </c>
      <c r="S16" s="52"/>
      <c r="T16" s="1409" t="s">
        <v>1949</v>
      </c>
      <c r="U16" s="1410"/>
      <c r="V16" s="1410"/>
      <c r="W16" s="1410"/>
      <c r="X16" s="1410"/>
      <c r="Y16" s="1410"/>
      <c r="Z16" s="1410"/>
      <c r="AA16" s="1411"/>
      <c r="AB16" s="43" t="s">
        <v>1938</v>
      </c>
      <c r="AC16" s="329">
        <f>ROUND(690*Belarus*(1-D99),2)</f>
        <v>690</v>
      </c>
      <c r="AD16" s="329">
        <f>ROUND(690*Belarus*(1-D99),2)</f>
        <v>690</v>
      </c>
      <c r="AE16" s="329">
        <f>ROUND(690*Belarus*(1-D99),2)</f>
        <v>690</v>
      </c>
      <c r="AF16" s="329">
        <f>ROUND(694*Belarus*(1-D99),2)</f>
        <v>694</v>
      </c>
      <c r="AG16" s="329">
        <f>ROUND(694*Belarus*(1-D99),2)</f>
        <v>694</v>
      </c>
      <c r="AH16" s="329">
        <f>ROUND(698*Belarus*(1-D99),2)</f>
        <v>698</v>
      </c>
      <c r="AI16" s="329">
        <f>ROUND(716*Belarus*(1-D99),2)</f>
        <v>716</v>
      </c>
      <c r="AJ16" s="329">
        <f>ROUND(716*Belarus*(1-D99),2)</f>
        <v>716</v>
      </c>
      <c r="AK16" s="329">
        <f>ROUND(731*Belarus*(1-D99),2)</f>
        <v>731</v>
      </c>
      <c r="AL16" s="329">
        <f>ROUND(854*Belarus*(1-D99),2)</f>
        <v>854</v>
      </c>
      <c r="AM16" s="329">
        <f>ROUND(868*Belarus*(1-D99),2)</f>
        <v>868</v>
      </c>
      <c r="AN16" s="329">
        <f>ROUND(952*Belarus*(1-D99),2)</f>
        <v>952</v>
      </c>
      <c r="AO16" s="329">
        <f>ROUND(980*Belarus*(1-D99),2)</f>
        <v>980</v>
      </c>
      <c r="AP16" s="329">
        <f>ROUND(1060*Belarus*(1-D99),2)</f>
        <v>1060</v>
      </c>
      <c r="AQ16" s="329">
        <f>ROUND(1296*Belarus*(1-D99),2)</f>
        <v>1296</v>
      </c>
      <c r="AR16" s="329">
        <f>ROUND(1560*Belarus*(1-D99),2)</f>
        <v>1560</v>
      </c>
    </row>
    <row r="17" spans="1:44" ht="30" customHeight="1">
      <c r="A17" s="399" t="s">
        <v>1954</v>
      </c>
      <c r="B17" s="43" t="s">
        <v>1938</v>
      </c>
      <c r="C17" s="329">
        <f t="shared" ref="C17:R17" si="0">C16</f>
        <v>441</v>
      </c>
      <c r="D17" s="329">
        <f t="shared" si="0"/>
        <v>495</v>
      </c>
      <c r="E17" s="329">
        <f t="shared" si="0"/>
        <v>513</v>
      </c>
      <c r="F17" s="329">
        <f t="shared" si="0"/>
        <v>540</v>
      </c>
      <c r="G17" s="329">
        <f t="shared" si="0"/>
        <v>570</v>
      </c>
      <c r="H17" s="329">
        <f t="shared" si="0"/>
        <v>573</v>
      </c>
      <c r="I17" s="329">
        <f t="shared" si="0"/>
        <v>601</v>
      </c>
      <c r="J17" s="329">
        <f t="shared" si="0"/>
        <v>601</v>
      </c>
      <c r="K17" s="329">
        <f t="shared" si="0"/>
        <v>638</v>
      </c>
      <c r="L17" s="329">
        <f t="shared" si="0"/>
        <v>643</v>
      </c>
      <c r="M17" s="329">
        <f t="shared" si="0"/>
        <v>684</v>
      </c>
      <c r="N17" s="329">
        <f t="shared" si="0"/>
        <v>971</v>
      </c>
      <c r="O17" s="329">
        <f t="shared" si="0"/>
        <v>1091</v>
      </c>
      <c r="P17" s="329">
        <f t="shared" si="0"/>
        <v>1245</v>
      </c>
      <c r="Q17" s="329">
        <f t="shared" si="0"/>
        <v>1450</v>
      </c>
      <c r="R17" s="329">
        <f t="shared" si="0"/>
        <v>1844</v>
      </c>
      <c r="S17" s="52"/>
      <c r="T17" s="1409" t="s">
        <v>1951</v>
      </c>
      <c r="U17" s="1410"/>
      <c r="V17" s="1410"/>
      <c r="W17" s="1410"/>
      <c r="X17" s="1410"/>
      <c r="Y17" s="1410"/>
      <c r="Z17" s="1410"/>
      <c r="AA17" s="1411"/>
      <c r="AB17" s="43" t="s">
        <v>1938</v>
      </c>
      <c r="AC17" s="329">
        <f>ROUND(689*Belarus*(1-D99),2)</f>
        <v>689</v>
      </c>
      <c r="AD17" s="329">
        <f>ROUND(689*Belarus*(1-D99),2)</f>
        <v>689</v>
      </c>
      <c r="AE17" s="329">
        <f>ROUND(689*Belarus*(1-D99),2)</f>
        <v>689</v>
      </c>
      <c r="AF17" s="329">
        <f>ROUND(691*Belarus*(1-D99),2)</f>
        <v>691</v>
      </c>
      <c r="AG17" s="329">
        <f>ROUND(693*Belarus*(1-D99),2)</f>
        <v>693</v>
      </c>
      <c r="AH17" s="329">
        <f>ROUND(697*Belarus*(1-D99),2)</f>
        <v>697</v>
      </c>
      <c r="AI17" s="329">
        <f>ROUND(715*Belarus*(1-D99),2)</f>
        <v>715</v>
      </c>
      <c r="AJ17" s="329">
        <f>ROUND(715*Belarus*(1-D99),2)</f>
        <v>715</v>
      </c>
      <c r="AK17" s="329">
        <f>ROUND(730*Belarus*(1-D99),2)</f>
        <v>730</v>
      </c>
      <c r="AL17" s="1151">
        <f>ROUND(853*Belarus*(1-D99),2)</f>
        <v>853</v>
      </c>
      <c r="AM17" s="329">
        <f>ROUND(868*Belarus*(1-D99),2)</f>
        <v>868</v>
      </c>
      <c r="AN17" s="329">
        <f>ROUND(951*Belarus*(1-D99),2)</f>
        <v>951</v>
      </c>
      <c r="AO17" s="329">
        <f>ROUND(980*Belarus*(1-D99),2)</f>
        <v>980</v>
      </c>
      <c r="AP17" s="329">
        <f>ROUND(1060*Belarus*(1-D99),2)</f>
        <v>1060</v>
      </c>
      <c r="AQ17" s="329">
        <f>ROUND(1295*Belarus*(1-D99),2)</f>
        <v>1295</v>
      </c>
      <c r="AR17" s="329">
        <f>ROUND(1559*Belarus*(1-D99),2)</f>
        <v>1559</v>
      </c>
    </row>
    <row r="18" spans="1:44">
      <c r="A18" s="399" t="s">
        <v>1961</v>
      </c>
      <c r="B18" s="43" t="s">
        <v>1938</v>
      </c>
      <c r="C18" s="329">
        <f>ROUND(262*Belarus*(1-D99),2)</f>
        <v>262</v>
      </c>
      <c r="D18" s="329">
        <f>ROUND(286*Belarus*(1-D99),2)</f>
        <v>286</v>
      </c>
      <c r="E18" s="329">
        <f>ROUND(312*Belarus*(1-D99),2)</f>
        <v>312</v>
      </c>
      <c r="F18" s="329">
        <f>ROUND(313*Belarus*(1-D99),2)</f>
        <v>313</v>
      </c>
      <c r="G18" s="329">
        <f>ROUND(329*Belarus*(1-D99),2)</f>
        <v>329</v>
      </c>
      <c r="H18" s="329">
        <f>ROUND(329*Belarus*(1-D99),2)</f>
        <v>329</v>
      </c>
      <c r="I18" s="329">
        <f>ROUND(345*Belarus*(1-D99),2)</f>
        <v>345</v>
      </c>
      <c r="J18" s="329">
        <f>ROUND(345*Belarus*(1-D99),2)</f>
        <v>345</v>
      </c>
      <c r="K18" s="329">
        <f>ROUND(354*Belarus*(1-D99),2)</f>
        <v>354</v>
      </c>
      <c r="L18" s="329">
        <f>ROUND(422*Belarus*(1-D99),2)</f>
        <v>422</v>
      </c>
      <c r="M18" s="329">
        <f>ROUND(449*Belarus*(1-D99),2)</f>
        <v>449</v>
      </c>
      <c r="N18" s="329">
        <f>ROUND(598*Belarus*(1-D99),2)</f>
        <v>598</v>
      </c>
      <c r="O18" s="329">
        <f>ROUND(664*Belarus*(1-D99),2)</f>
        <v>664</v>
      </c>
      <c r="P18" s="329">
        <f>ROUND(745*Belarus*(1-D99),2)</f>
        <v>745</v>
      </c>
      <c r="Q18" s="329">
        <f>ROUND(827*Belarus*(1-D99),2)</f>
        <v>827</v>
      </c>
      <c r="R18" s="329">
        <f>ROUND(1860*Belarus*(1-D99),2)</f>
        <v>1860</v>
      </c>
      <c r="S18" s="52"/>
      <c r="T18" s="2214" t="s">
        <v>6543</v>
      </c>
      <c r="U18" s="1615"/>
      <c r="V18" s="1615"/>
      <c r="W18" s="1615"/>
      <c r="X18" s="1615"/>
      <c r="Y18" s="1615"/>
      <c r="Z18" s="1615"/>
      <c r="AA18" s="2215"/>
      <c r="AB18" s="43" t="s">
        <v>1940</v>
      </c>
      <c r="AC18" s="329" t="s">
        <v>369</v>
      </c>
      <c r="AD18" s="329">
        <f>ROUND(1267*Belarus*(1-D99),2)</f>
        <v>1267</v>
      </c>
      <c r="AE18" s="329">
        <f>ROUND(1289*Belarus*(1-D99),2)</f>
        <v>1289</v>
      </c>
      <c r="AF18" s="329">
        <f>ROUND(1299*Belarus*(1-D99),2)</f>
        <v>1299</v>
      </c>
      <c r="AG18" s="329">
        <f>ROUND(1309*Belarus*(1-D99),2)</f>
        <v>1309</v>
      </c>
      <c r="AH18" s="329">
        <f>ROUND(1331*Belarus*(1-D99),2)</f>
        <v>1331</v>
      </c>
      <c r="AI18" s="329" t="s">
        <v>369</v>
      </c>
      <c r="AJ18" s="329" t="s">
        <v>369</v>
      </c>
      <c r="AK18" s="329">
        <f>ROUND(1454*Belarus*(1-D99),2)</f>
        <v>1454</v>
      </c>
      <c r="AL18" s="329">
        <f>ROUND(1878*Belarus*(1-D99),2)</f>
        <v>1878</v>
      </c>
      <c r="AM18" s="329">
        <f>ROUND(1934*Belarus*(1-D99),2)</f>
        <v>1934</v>
      </c>
      <c r="AN18" s="329">
        <f>ROUND(2176*Belarus*(1-D99),2)</f>
        <v>2176</v>
      </c>
      <c r="AO18" s="329">
        <f>ROUND(2287*Belarus*(1-D99),2)</f>
        <v>2287</v>
      </c>
      <c r="AP18" s="329" t="s">
        <v>369</v>
      </c>
      <c r="AQ18" s="329">
        <f>ROUND(3050*Belarus*(1-D99),2)</f>
        <v>3050</v>
      </c>
      <c r="AR18" s="329">
        <f>ROUND(3710*Belarus*(1-D99),2)</f>
        <v>3710</v>
      </c>
    </row>
    <row r="19" spans="1:44">
      <c r="A19" s="399" t="s">
        <v>1962</v>
      </c>
      <c r="B19" s="43" t="s">
        <v>1938</v>
      </c>
      <c r="C19" s="329" t="s">
        <v>369</v>
      </c>
      <c r="D19" s="329">
        <f>ROUND(317*Belarus*(1-D99),2)</f>
        <v>317</v>
      </c>
      <c r="E19" s="329">
        <f>ROUND(345*Belarus*(1-D99),2)</f>
        <v>345</v>
      </c>
      <c r="F19" s="329">
        <f>ROUND(362*Belarus*(1-D99),2)</f>
        <v>362</v>
      </c>
      <c r="G19" s="329">
        <f>ROUND(376*Belarus*(1-D99),2)</f>
        <v>376</v>
      </c>
      <c r="H19" s="329" t="s">
        <v>369</v>
      </c>
      <c r="I19" s="329">
        <f>ROUND(392*Belarus*(1-D99),2)</f>
        <v>392</v>
      </c>
      <c r="J19" s="329">
        <f>ROUND(396*Belarus*(1-D99),2)</f>
        <v>396</v>
      </c>
      <c r="K19" s="329">
        <f>ROUND(451*Belarus*(1-D99),2)</f>
        <v>451</v>
      </c>
      <c r="L19" s="329">
        <f>ROUND(448*Belarus*(1-D99),2)</f>
        <v>448</v>
      </c>
      <c r="M19" s="329">
        <f>ROUND(531*Belarus*(1-D99),2)</f>
        <v>531</v>
      </c>
      <c r="N19" s="329">
        <f>ROUND(663*Belarus*(1-D99),2)</f>
        <v>663</v>
      </c>
      <c r="O19" s="329">
        <f>ROUND(776*Belarus*(1-D99),2)</f>
        <v>776</v>
      </c>
      <c r="P19" s="329">
        <f>ROUND(940*Belarus*(1-D99),2)</f>
        <v>940</v>
      </c>
      <c r="Q19" s="329">
        <f>ROUND(913*Belarus*(1-D99),2)</f>
        <v>913</v>
      </c>
      <c r="R19" s="329">
        <f>ROUND(1388*Belarus*(1-D99),2)</f>
        <v>1388</v>
      </c>
      <c r="S19" s="52"/>
      <c r="T19" s="2216"/>
      <c r="U19" s="2217"/>
      <c r="V19" s="2217"/>
      <c r="W19" s="2217"/>
      <c r="X19" s="2217"/>
      <c r="Y19" s="2217"/>
      <c r="Z19" s="2217"/>
      <c r="AA19" s="2218"/>
      <c r="AB19" s="43" t="s">
        <v>1938</v>
      </c>
      <c r="AC19" s="329">
        <f>ROUND(1132*Belarus*(1-D99),2)</f>
        <v>1132</v>
      </c>
      <c r="AD19" s="329">
        <f>ROUND(1279*Belarus*(1-D99),2)</f>
        <v>1279</v>
      </c>
      <c r="AE19" s="329">
        <f>ROUND(1301*Belarus*(1-D99),2)</f>
        <v>1301</v>
      </c>
      <c r="AF19" s="329">
        <f>ROUND(1312*Belarus*(1-D99),2)</f>
        <v>1312</v>
      </c>
      <c r="AG19" s="329">
        <f>ROUND(1321*Belarus*(1-D99),2)</f>
        <v>1321</v>
      </c>
      <c r="AH19" s="329">
        <f>ROUND(1343*Belarus*(1-D99),2)</f>
        <v>1343</v>
      </c>
      <c r="AI19" s="329">
        <f>ROUND(1446*Belarus*(1-D99),2)</f>
        <v>1446</v>
      </c>
      <c r="AJ19" s="329">
        <f>ROUND(1446*Belarus*(1-D99),2)</f>
        <v>1446</v>
      </c>
      <c r="AK19" s="329">
        <f>ROUND(1467*Belarus*(1-D99),2)</f>
        <v>1467</v>
      </c>
      <c r="AL19" s="329">
        <f>ROUND(1893*Belarus*(1-D99),2)</f>
        <v>1893</v>
      </c>
      <c r="AM19" s="329">
        <f>ROUND(1950*Belarus*(1-D99),2)</f>
        <v>1950</v>
      </c>
      <c r="AN19" s="329">
        <f>ROUND(2193*Belarus*(1-D99),2)</f>
        <v>2193</v>
      </c>
      <c r="AO19" s="329">
        <f>ROUND(2305*Belarus*(1-D99),2)</f>
        <v>2305</v>
      </c>
      <c r="AP19" s="329">
        <f>ROUND(2489*Belarus*(1-D99),2)</f>
        <v>2489</v>
      </c>
      <c r="AQ19" s="329">
        <f>ROUND(3072*Belarus*(1-D99),2)</f>
        <v>3072</v>
      </c>
      <c r="AR19" s="329">
        <f>ROUND(3735*Belarus*(1-D99),2)</f>
        <v>3735</v>
      </c>
    </row>
    <row r="20" spans="1:44" ht="25.5" customHeight="1">
      <c r="A20" s="399" t="s">
        <v>1964</v>
      </c>
      <c r="B20" s="43" t="s">
        <v>1938</v>
      </c>
      <c r="C20" s="329">
        <f>ROUND(335*Belarus*(1-D99),2)</f>
        <v>335</v>
      </c>
      <c r="D20" s="329">
        <f>ROUND(370*Belarus*(1-D99),2)</f>
        <v>370</v>
      </c>
      <c r="E20" s="329">
        <f>ROUND(405*Belarus*(1-D99),2)</f>
        <v>405</v>
      </c>
      <c r="F20" s="329">
        <f>ROUND(426*Belarus*(1-D99),2)</f>
        <v>426</v>
      </c>
      <c r="G20" s="329">
        <f>ROUND(426*Belarus*(1-D99),2)</f>
        <v>426</v>
      </c>
      <c r="H20" s="329">
        <f>ROUND(479*Belarus*(1-D99),2)</f>
        <v>479</v>
      </c>
      <c r="I20" s="329">
        <f>ROUND(479*Belarus*(1-D99),2)</f>
        <v>479</v>
      </c>
      <c r="J20" s="329">
        <f>ROUND(479*Belarus*(1-D99),2)</f>
        <v>479</v>
      </c>
      <c r="K20" s="329">
        <f>ROUND(513*Belarus*(1-D99),2)</f>
        <v>513</v>
      </c>
      <c r="L20" s="329">
        <f>ROUND(552*Belarus*(1-D99),2)</f>
        <v>552</v>
      </c>
      <c r="M20" s="329">
        <f>ROUND(663*Belarus*(1-D99),2)</f>
        <v>663</v>
      </c>
      <c r="N20" s="329">
        <f>ROUND(859*Belarus*(1-D99),2)</f>
        <v>859</v>
      </c>
      <c r="O20" s="329">
        <f>ROUND(859*Belarus*(1-D99),2)</f>
        <v>859</v>
      </c>
      <c r="P20" s="329">
        <f>ROUND(1189*Belarus*(1-D99),2)</f>
        <v>1189</v>
      </c>
      <c r="Q20" s="329">
        <f>ROUND(1199*Belarus*(1-D99),2)</f>
        <v>1199</v>
      </c>
      <c r="R20" s="329">
        <f>ROUND(2437*Belarus*(1-D99),2)</f>
        <v>2437</v>
      </c>
      <c r="S20" s="52"/>
      <c r="T20" s="1409" t="s">
        <v>1955</v>
      </c>
      <c r="U20" s="1410"/>
      <c r="V20" s="1410"/>
      <c r="W20" s="1410"/>
      <c r="X20" s="1410"/>
      <c r="Y20" s="1410"/>
      <c r="Z20" s="1410"/>
      <c r="AA20" s="1411"/>
      <c r="AB20" s="43" t="s">
        <v>1938</v>
      </c>
      <c r="AC20" s="329">
        <f>ROUND(239*Belarus*(1-D99),2)</f>
        <v>239</v>
      </c>
      <c r="AD20" s="329">
        <f>ROUND(296*Belarus*(1-D99),2)</f>
        <v>296</v>
      </c>
      <c r="AE20" s="329">
        <f>ROUND(296*Belarus*(1-D99),2)</f>
        <v>296</v>
      </c>
      <c r="AF20" s="329">
        <f>ROUND(296*Belarus*(1-D99),2)</f>
        <v>296</v>
      </c>
      <c r="AG20" s="329">
        <f>ROUND(296*Belarus*(1-D99),2)</f>
        <v>296</v>
      </c>
      <c r="AH20" s="329">
        <f>ROUND(296*Belarus*(1-D99),2)</f>
        <v>296</v>
      </c>
      <c r="AI20" s="329">
        <f>ROUND(296*Belarus*(1-D99),2)</f>
        <v>296</v>
      </c>
      <c r="AJ20" s="329">
        <f>ROUND(328*Belarus*(1-D99),2)</f>
        <v>328</v>
      </c>
      <c r="AK20" s="329">
        <f>ROUND(328*Belarus*(1-D99),2)</f>
        <v>328</v>
      </c>
      <c r="AL20" s="329">
        <f>ROUND(379*Belarus*(1-D99),2)</f>
        <v>379</v>
      </c>
      <c r="AM20" s="329">
        <f>ROUND(379*Belarus*(1-D99),2)</f>
        <v>379</v>
      </c>
      <c r="AN20" s="329">
        <f>ROUND(433*Belarus*(1-D99),2)</f>
        <v>433</v>
      </c>
      <c r="AO20" s="329">
        <f>ROUND(433*Belarus*(1-D99),2)</f>
        <v>433</v>
      </c>
      <c r="AP20" s="329">
        <f>ROUND(526*Belarus*(1-D99),2)</f>
        <v>526</v>
      </c>
      <c r="AQ20" s="329">
        <f>ROUND(663*Belarus*(1-D99),2)</f>
        <v>663</v>
      </c>
      <c r="AR20" s="329">
        <f>ROUND(764*Belarus*(1-D99),2)</f>
        <v>764</v>
      </c>
    </row>
    <row r="21" spans="1:44">
      <c r="A21" s="399" t="s">
        <v>1965</v>
      </c>
      <c r="B21" s="43" t="s">
        <v>1938</v>
      </c>
      <c r="C21" s="329" t="s">
        <v>369</v>
      </c>
      <c r="D21" s="329">
        <f>ROUND(388*Belarus*(1-D99),2)</f>
        <v>388</v>
      </c>
      <c r="E21" s="329">
        <f>ROUND(415*Belarus*(1-D99),2)</f>
        <v>415</v>
      </c>
      <c r="F21" s="329">
        <f>ROUND(434*Belarus*(1-D99),2)</f>
        <v>434</v>
      </c>
      <c r="G21" s="329">
        <f>ROUND(456*Belarus*(1-D99),2)</f>
        <v>456</v>
      </c>
      <c r="H21" s="329">
        <f>ROUND(481*Belarus*(1-D99),2)</f>
        <v>481</v>
      </c>
      <c r="I21" s="329">
        <f>ROUND(479*Belarus*(1-D99),2)</f>
        <v>479</v>
      </c>
      <c r="J21" s="329">
        <f>ROUND(481*Belarus*(1-D99),2)</f>
        <v>481</v>
      </c>
      <c r="K21" s="329">
        <f>ROUND(553*Belarus*(1-D99),2)</f>
        <v>553</v>
      </c>
      <c r="L21" s="329">
        <f>ROUND(550*Belarus*(1-D99),2)</f>
        <v>550</v>
      </c>
      <c r="M21" s="329">
        <f>ROUND(640*Belarus*(1-D99),2)</f>
        <v>640</v>
      </c>
      <c r="N21" s="329">
        <f>ROUND(805*Belarus*(1-D99),2)</f>
        <v>805</v>
      </c>
      <c r="O21" s="329">
        <f>ROUND(914*Belarus*(1-D99),2)</f>
        <v>914</v>
      </c>
      <c r="P21" s="329">
        <f>ROUND(1102*Belarus*(1-D99),2)</f>
        <v>1102</v>
      </c>
      <c r="Q21" s="329">
        <f>ROUND(1102*Belarus*(1-D99),2)</f>
        <v>1102</v>
      </c>
      <c r="R21" s="329">
        <f>ROUND(1784*Belarus*(1-D99),2)</f>
        <v>1784</v>
      </c>
      <c r="S21" s="52"/>
      <c r="T21" s="1365" t="s">
        <v>1957</v>
      </c>
      <c r="U21" s="1366"/>
      <c r="V21" s="1366"/>
      <c r="W21" s="1366"/>
      <c r="X21" s="1366"/>
      <c r="Y21" s="1366"/>
      <c r="Z21" s="1366"/>
      <c r="AA21" s="1367"/>
      <c r="AB21" s="43" t="s">
        <v>1938</v>
      </c>
      <c r="AC21" s="329">
        <f>ROUND(276*Belarus*(1-D99),2)</f>
        <v>276</v>
      </c>
      <c r="AD21" s="329">
        <f>ROUND(333*Belarus*(1-D99),2)</f>
        <v>333</v>
      </c>
      <c r="AE21" s="329">
        <f>ROUND(333*Belarus*(1-D99),2)</f>
        <v>333</v>
      </c>
      <c r="AF21" s="329">
        <f>ROUND(333*Belarus*(1-D99),2)</f>
        <v>333</v>
      </c>
      <c r="AG21" s="329">
        <f>ROUND(333*Belarus*(1-D99),2)</f>
        <v>333</v>
      </c>
      <c r="AH21" s="329">
        <f>ROUND(333*Belarus*(1-D99),2)</f>
        <v>333</v>
      </c>
      <c r="AI21" s="329">
        <f>ROUND(333*Belarus*(1-D99),2)</f>
        <v>333</v>
      </c>
      <c r="AJ21" s="329">
        <f>ROUND(365*Belarus*(1-D99),2)</f>
        <v>365</v>
      </c>
      <c r="AK21" s="329">
        <f>ROUND(365*Belarus*(1-D99),2)</f>
        <v>365</v>
      </c>
      <c r="AL21" s="329">
        <f>ROUND(415*Belarus*(1-D99),2)</f>
        <v>415</v>
      </c>
      <c r="AM21" s="329">
        <f>ROUND(415*Belarus*(1-D99),2)</f>
        <v>415</v>
      </c>
      <c r="AN21" s="329">
        <f>ROUND(470*Belarus*(1-D99),2)</f>
        <v>470</v>
      </c>
      <c r="AO21" s="329">
        <f>ROUND(470*Belarus*(1-D99),2)</f>
        <v>470</v>
      </c>
      <c r="AP21" s="329">
        <f>ROUND(562*Belarus*(1-D99),2)</f>
        <v>562</v>
      </c>
      <c r="AQ21" s="329">
        <f>ROUND(700*Belarus*(1-D99),2)</f>
        <v>700</v>
      </c>
      <c r="AR21" s="329">
        <f>ROUND(801*Belarus*(1-D99),2)</f>
        <v>801</v>
      </c>
    </row>
    <row r="22" spans="1:44" ht="27.75" customHeight="1">
      <c r="S22" s="52"/>
      <c r="T22" s="1779" t="s">
        <v>1958</v>
      </c>
      <c r="U22" s="1780"/>
      <c r="V22" s="1780"/>
      <c r="W22" s="1780"/>
      <c r="X22" s="1780"/>
      <c r="Y22" s="1780"/>
      <c r="Z22" s="1780"/>
      <c r="AA22" s="1781"/>
      <c r="AB22" s="43" t="s">
        <v>1938</v>
      </c>
      <c r="AC22" s="329">
        <f>ROUND(349*Belarus*(1-D99),2)</f>
        <v>349</v>
      </c>
      <c r="AD22" s="329">
        <f>ROUND(407*Belarus*(1-D99),2)</f>
        <v>407</v>
      </c>
      <c r="AE22" s="329">
        <f>AD22</f>
        <v>407</v>
      </c>
      <c r="AF22" s="329">
        <f>AD22</f>
        <v>407</v>
      </c>
      <c r="AG22" s="329">
        <f>AD22</f>
        <v>407</v>
      </c>
      <c r="AH22" s="329">
        <f>AD22</f>
        <v>407</v>
      </c>
      <c r="AI22" s="329">
        <f>AD22</f>
        <v>407</v>
      </c>
      <c r="AJ22" s="329">
        <f>ROUND(438*Belarus*(1-D99),2)</f>
        <v>438</v>
      </c>
      <c r="AK22" s="329">
        <f>AJ22</f>
        <v>438</v>
      </c>
      <c r="AL22" s="329">
        <f>ROUND(489*Belarus*(1-D99),2)</f>
        <v>489</v>
      </c>
      <c r="AM22" s="329">
        <f>AL22</f>
        <v>489</v>
      </c>
      <c r="AN22" s="329">
        <f>ROUND(544*Belarus*(1-D99),2)</f>
        <v>544</v>
      </c>
      <c r="AO22" s="329">
        <f>ROUND(544*Belarus*(1-D99),2)</f>
        <v>544</v>
      </c>
      <c r="AP22" s="329">
        <f>ROUND(636*Belarus*(1-D99),2)</f>
        <v>636</v>
      </c>
      <c r="AQ22" s="329">
        <f>ROUND(774*Belarus*(1-D99),2)</f>
        <v>774</v>
      </c>
      <c r="AR22" s="329">
        <f>ROUND(875*Belarus*(1-D99),2)</f>
        <v>875</v>
      </c>
    </row>
    <row r="23" spans="1:44" ht="12.75" customHeight="1">
      <c r="A23" s="2219" t="s">
        <v>1971</v>
      </c>
      <c r="B23" s="1360"/>
      <c r="C23" s="1360"/>
      <c r="D23" s="1360"/>
      <c r="E23" s="1360"/>
      <c r="F23" s="1360"/>
      <c r="G23" s="1360"/>
      <c r="H23" s="1360"/>
      <c r="I23" s="1360"/>
      <c r="J23" s="1360"/>
      <c r="K23" s="1360"/>
      <c r="L23" s="1360"/>
      <c r="M23" s="1360"/>
      <c r="N23" s="1360"/>
      <c r="O23" s="1360"/>
      <c r="P23" s="1360"/>
      <c r="Q23" s="1360"/>
      <c r="R23" s="1361"/>
      <c r="S23" s="52"/>
      <c r="T23" s="1910" t="s">
        <v>1960</v>
      </c>
      <c r="U23" s="2212"/>
      <c r="V23" s="2212"/>
      <c r="W23" s="2212"/>
      <c r="X23" s="2212"/>
      <c r="Y23" s="2212"/>
      <c r="Z23" s="2212"/>
      <c r="AA23" s="1911"/>
      <c r="AB23" s="43" t="s">
        <v>1940</v>
      </c>
      <c r="AC23" s="329">
        <f>ROUND(1191*Belarus*(1-D99),2)</f>
        <v>1191</v>
      </c>
      <c r="AD23" s="329">
        <f>ROUND(1495*Belarus*(1-D99),2)</f>
        <v>1495</v>
      </c>
      <c r="AE23" s="329">
        <f>ROUND(1520*Belarus*(1-D99),2)</f>
        <v>1520</v>
      </c>
      <c r="AF23" s="329">
        <f>ROUND(1532*Belarus*(1-D99),2)</f>
        <v>1532</v>
      </c>
      <c r="AG23" s="329">
        <f>ROUND(1543*Belarus*(1-D99),2)</f>
        <v>1543</v>
      </c>
      <c r="AH23" s="329">
        <f>ROUND(1603*Belarus*(1-D99),2)</f>
        <v>1603</v>
      </c>
      <c r="AI23" s="329">
        <f>ROUND(1603*Belarus*(1-D99),2)</f>
        <v>1603</v>
      </c>
      <c r="AJ23" s="329" t="s">
        <v>369</v>
      </c>
      <c r="AK23" s="329">
        <f>ROUND(1758*Belarus*(1-D99),2)</f>
        <v>1758</v>
      </c>
      <c r="AL23" s="329">
        <f>ROUND(2007*Belarus*(1-D99),2)</f>
        <v>2007</v>
      </c>
      <c r="AM23" s="329">
        <f>ROUND(2027*Belarus*(1-D99),2)</f>
        <v>2027</v>
      </c>
      <c r="AN23" s="329">
        <f>ROUND(2313*Belarus*(1-D99),2)</f>
        <v>2313</v>
      </c>
      <c r="AO23" s="329">
        <f>ROUND(2342*Belarus*(1-D99),2)</f>
        <v>2342</v>
      </c>
      <c r="AP23" s="329" t="s">
        <v>369</v>
      </c>
      <c r="AQ23" s="329">
        <f>ROUND(3850*Belarus*(1-D99),2)</f>
        <v>3850</v>
      </c>
      <c r="AR23" s="329">
        <f>ROUND(4444*Belarus*(1-D99),2)</f>
        <v>4444</v>
      </c>
    </row>
    <row r="24" spans="1:44" ht="12.75" customHeight="1">
      <c r="A24" s="1400"/>
      <c r="B24" s="1401"/>
      <c r="C24" s="1401"/>
      <c r="D24" s="1401"/>
      <c r="E24" s="1401"/>
      <c r="F24" s="1401"/>
      <c r="G24" s="1401"/>
      <c r="H24" s="1401"/>
      <c r="I24" s="1401"/>
      <c r="J24" s="1401"/>
      <c r="K24" s="1401"/>
      <c r="L24" s="1401"/>
      <c r="M24" s="1401"/>
      <c r="N24" s="1401"/>
      <c r="O24" s="1401"/>
      <c r="P24" s="1401"/>
      <c r="Q24" s="1401"/>
      <c r="R24" s="1402"/>
      <c r="S24" s="52"/>
      <c r="T24" s="1914"/>
      <c r="U24" s="2213"/>
      <c r="V24" s="2213"/>
      <c r="W24" s="2213"/>
      <c r="X24" s="2213"/>
      <c r="Y24" s="2213"/>
      <c r="Z24" s="2213"/>
      <c r="AA24" s="1915"/>
      <c r="AB24" s="43" t="s">
        <v>1938</v>
      </c>
      <c r="AC24" s="329">
        <f>ROUND(1551*Belarus*(1-D99),2)</f>
        <v>1551</v>
      </c>
      <c r="AD24" s="329">
        <f>ROUND(2013*Belarus*(1-D99),2)</f>
        <v>2013</v>
      </c>
      <c r="AE24" s="329">
        <f>ROUND(2037*Belarus*(1-D99),2)</f>
        <v>2037</v>
      </c>
      <c r="AF24" s="329">
        <f>ROUND(2050*Belarus*(1-D99),2)</f>
        <v>2050</v>
      </c>
      <c r="AG24" s="329">
        <f>ROUND(2061*Belarus*(1-D99),2)</f>
        <v>2061</v>
      </c>
      <c r="AH24" s="329">
        <f>ROUND(2121*Belarus*(1-D99),2)</f>
        <v>2121</v>
      </c>
      <c r="AI24" s="329">
        <f>ROUND(2121*Belarus*(1-D99),2)</f>
        <v>2121</v>
      </c>
      <c r="AJ24" s="329">
        <f>ROUND(2319*Belarus*(1-D99),2)</f>
        <v>2319</v>
      </c>
      <c r="AK24" s="329">
        <f>ROUND(2340*Belarus*(1-D99),2)</f>
        <v>2340</v>
      </c>
      <c r="AL24" s="329">
        <f>ROUND(2700*Belarus*(1-D99),2)</f>
        <v>2700</v>
      </c>
      <c r="AM24" s="329">
        <f>ROUND(2720*Belarus*(1-D99),2)</f>
        <v>2720</v>
      </c>
      <c r="AN24" s="329">
        <f>ROUND(3089*Belarus*(1-D99),2)</f>
        <v>3089</v>
      </c>
      <c r="AO24" s="329">
        <f>ROUND(3120*Belarus*(1-D99),2)</f>
        <v>3120</v>
      </c>
      <c r="AP24" s="329">
        <f>ROUND(4244*Belarus*(1-D99),2)</f>
        <v>4244</v>
      </c>
      <c r="AQ24" s="329">
        <f>ROUND(5219*Belarus*(1-D99),2)</f>
        <v>5219</v>
      </c>
      <c r="AR24" s="329">
        <f>ROUND(5972*Belarus*(1-D99),2)</f>
        <v>5972</v>
      </c>
    </row>
    <row r="25" spans="1:44" ht="12.75" customHeight="1">
      <c r="A25" s="1362"/>
      <c r="B25" s="1363"/>
      <c r="C25" s="1363"/>
      <c r="D25" s="1363"/>
      <c r="E25" s="1363"/>
      <c r="F25" s="1363"/>
      <c r="G25" s="1363"/>
      <c r="H25" s="1363"/>
      <c r="I25" s="1363"/>
      <c r="J25" s="1363"/>
      <c r="K25" s="1363"/>
      <c r="L25" s="1363"/>
      <c r="M25" s="1363"/>
      <c r="N25" s="1363"/>
      <c r="O25" s="1363"/>
      <c r="P25" s="1363"/>
      <c r="Q25" s="1363"/>
      <c r="R25" s="1364"/>
      <c r="S25" s="52"/>
      <c r="T25" s="1910" t="s">
        <v>1963</v>
      </c>
      <c r="U25" s="2212"/>
      <c r="V25" s="2212"/>
      <c r="W25" s="2212"/>
      <c r="X25" s="2212"/>
      <c r="Y25" s="2212"/>
      <c r="Z25" s="2212"/>
      <c r="AA25" s="1911"/>
      <c r="AB25" s="43" t="s">
        <v>1940</v>
      </c>
      <c r="AC25" s="329">
        <f>ROUND(842*Belarus*(1-D99),2)</f>
        <v>842</v>
      </c>
      <c r="AD25" s="329">
        <f>ROUND(1986*Belarus*(1-D99),2)</f>
        <v>1986</v>
      </c>
      <c r="AE25" s="329">
        <f>ROUND(2169*Belarus*(1-D99),2)</f>
        <v>2169</v>
      </c>
      <c r="AF25" s="329">
        <f>ROUND(2051*Belarus*(1-D99),2)</f>
        <v>2051</v>
      </c>
      <c r="AG25" s="329">
        <f>ROUND(2033*Belarus*(1-D99),2)</f>
        <v>2033</v>
      </c>
      <c r="AH25" s="329">
        <f>ROUND(2409*Belarus*(1-D99),2)</f>
        <v>2409</v>
      </c>
      <c r="AI25" s="329">
        <f>ROUND(2409*Belarus*(1-D99),2)</f>
        <v>2409</v>
      </c>
      <c r="AJ25" s="329" t="s">
        <v>369</v>
      </c>
      <c r="AK25" s="329">
        <f>ROUND(2829*Belarus*(1-D99),2)</f>
        <v>2829</v>
      </c>
      <c r="AL25" s="329">
        <f>ROUND(3124*Belarus*(1-D99),2)</f>
        <v>3124</v>
      </c>
      <c r="AM25" s="329">
        <f>ROUND(3076*Belarus*(1-D99),2)</f>
        <v>3076</v>
      </c>
      <c r="AN25" s="329">
        <f>ROUND(3988*Belarus*(1-D99),2)</f>
        <v>3988</v>
      </c>
      <c r="AO25" s="329">
        <f>ROUND(4360*Belarus*(1-D99),2)</f>
        <v>4360</v>
      </c>
      <c r="AP25" s="329" t="s">
        <v>369</v>
      </c>
      <c r="AQ25" s="329">
        <f>ROUND(7093*Belarus*(1-D99),2)</f>
        <v>7093</v>
      </c>
      <c r="AR25" s="329">
        <f>ROUND(8227*Belarus*(1-D99),2)</f>
        <v>8227</v>
      </c>
    </row>
    <row r="26" spans="1:44">
      <c r="A26" s="174" t="s">
        <v>1931</v>
      </c>
      <c r="B26" s="1566" t="s">
        <v>1932</v>
      </c>
      <c r="C26" s="1434" t="s">
        <v>1494</v>
      </c>
      <c r="D26" s="1435"/>
      <c r="E26" s="1435"/>
      <c r="F26" s="1435"/>
      <c r="G26" s="1435"/>
      <c r="H26" s="1435"/>
      <c r="I26" s="1435"/>
      <c r="J26" s="1435"/>
      <c r="K26" s="1435"/>
      <c r="L26" s="1435"/>
      <c r="M26" s="1435"/>
      <c r="N26" s="1435"/>
      <c r="O26" s="1435"/>
      <c r="P26" s="1435"/>
      <c r="Q26" s="1435"/>
      <c r="R26" s="1436"/>
      <c r="S26" s="52"/>
      <c r="T26" s="1914"/>
      <c r="U26" s="2213"/>
      <c r="V26" s="2213"/>
      <c r="W26" s="2213"/>
      <c r="X26" s="2213"/>
      <c r="Y26" s="2213"/>
      <c r="Z26" s="2213"/>
      <c r="AA26" s="1915"/>
      <c r="AB26" s="43" t="s">
        <v>1938</v>
      </c>
      <c r="AC26" s="329">
        <f>ROUND(845*Belarus*(1-D99),2)</f>
        <v>845</v>
      </c>
      <c r="AD26" s="329">
        <f>ROUND(2722*Belarus*(1-D99),2)</f>
        <v>2722</v>
      </c>
      <c r="AE26" s="329">
        <f>ROUND(2905*Belarus*(1-D99),2)</f>
        <v>2905</v>
      </c>
      <c r="AF26" s="329">
        <f>ROUND(2788*Belarus*(1-D99),2)</f>
        <v>2788</v>
      </c>
      <c r="AG26" s="329">
        <f>ROUND(2770*Belarus*(1-D99),2)</f>
        <v>2770</v>
      </c>
      <c r="AH26" s="329">
        <f>ROUND(3636*Belarus*(1-D99),2)</f>
        <v>3636</v>
      </c>
      <c r="AI26" s="329">
        <f>ROUND(3636*Belarus*(1-D99),2)</f>
        <v>3636</v>
      </c>
      <c r="AJ26" s="329">
        <f>ROUND(4101*Belarus*(1-D99),2)</f>
        <v>4101</v>
      </c>
      <c r="AK26" s="329">
        <f>ROUND(4056*Belarus*(1-D99),2)</f>
        <v>4056</v>
      </c>
      <c r="AL26" s="329">
        <f>ROUND(4302*Belarus*(1-D99),2)</f>
        <v>4302</v>
      </c>
      <c r="AM26" s="329">
        <f>ROUND(4254*Belarus*(1-D99),2)</f>
        <v>4254</v>
      </c>
      <c r="AN26" s="329">
        <f>ROUND(5828*Belarus*(1-D99),2)</f>
        <v>5828</v>
      </c>
      <c r="AO26" s="329">
        <f>ROUND(6201*Belarus*(1-D99),2)</f>
        <v>6201</v>
      </c>
      <c r="AP26" s="329">
        <f>ROUND(6403*Belarus*(1-D99),2)</f>
        <v>6403</v>
      </c>
      <c r="AQ26" s="329">
        <f>ROUND(10773*Belarus*(1-D99),2)</f>
        <v>10773</v>
      </c>
      <c r="AR26" s="329">
        <f>ROUND(11906*Belarus*(1-D99),2)</f>
        <v>11906</v>
      </c>
    </row>
    <row r="27" spans="1:44">
      <c r="A27" s="1566" t="s">
        <v>1934</v>
      </c>
      <c r="B27" s="1930"/>
      <c r="C27" s="2211">
        <v>80</v>
      </c>
      <c r="D27" s="2211">
        <v>100</v>
      </c>
      <c r="E27" s="2211">
        <v>110</v>
      </c>
      <c r="F27" s="2211">
        <v>115</v>
      </c>
      <c r="G27" s="2211">
        <v>120</v>
      </c>
      <c r="H27" s="2211">
        <v>125</v>
      </c>
      <c r="I27" s="2211">
        <v>130</v>
      </c>
      <c r="J27" s="2211">
        <v>135</v>
      </c>
      <c r="K27" s="2211">
        <v>140</v>
      </c>
      <c r="L27" s="2211">
        <v>150</v>
      </c>
      <c r="M27" s="2211">
        <v>160</v>
      </c>
      <c r="N27" s="2211">
        <v>180</v>
      </c>
      <c r="O27" s="2211">
        <v>200</v>
      </c>
      <c r="P27" s="2211">
        <v>220</v>
      </c>
      <c r="Q27" s="2211">
        <v>250</v>
      </c>
      <c r="R27" s="2211">
        <v>300</v>
      </c>
      <c r="S27" s="52"/>
      <c r="T27" s="1910" t="s">
        <v>1968</v>
      </c>
      <c r="U27" s="2212"/>
      <c r="V27" s="2212"/>
      <c r="W27" s="2212"/>
      <c r="X27" s="2212"/>
      <c r="Y27" s="2212"/>
      <c r="Z27" s="2212"/>
      <c r="AA27" s="1911"/>
      <c r="AB27" s="43" t="s">
        <v>1940</v>
      </c>
      <c r="AC27" s="329">
        <f>ROUND(1098*Belarus*(1-D99),2)</f>
        <v>1098</v>
      </c>
      <c r="AD27" s="329">
        <f>ROUND(1301*Belarus*(1-D99),2)</f>
        <v>1301</v>
      </c>
      <c r="AE27" s="329">
        <f>ROUND(1302*Belarus*(1-D99),2)</f>
        <v>1302</v>
      </c>
      <c r="AF27" s="329">
        <f>ROUND(1334*Belarus*(1-D99),2)</f>
        <v>1334</v>
      </c>
      <c r="AG27" s="329">
        <f>ROUND(1350*Belarus*(1-D99),2)</f>
        <v>1350</v>
      </c>
      <c r="AH27" s="329">
        <f>ROUND(1368*Belarus*(1-D99),2)</f>
        <v>1368</v>
      </c>
      <c r="AI27" s="329">
        <f>ROUND(1368*Belarus*(1-D99),2)</f>
        <v>1368</v>
      </c>
      <c r="AJ27" s="329" t="s">
        <v>369</v>
      </c>
      <c r="AK27" s="329">
        <f>ROUND(1510*Belarus*(1-D99),2)</f>
        <v>1510</v>
      </c>
      <c r="AL27" s="329">
        <f>ROUND(1737*Belarus*(1-D99),2)</f>
        <v>1737</v>
      </c>
      <c r="AM27" s="329">
        <f>ROUND(1765*Belarus*(1-D99),2)</f>
        <v>1765</v>
      </c>
      <c r="AN27" s="329">
        <f>ROUND(2198*Belarus*(1-D99),2)</f>
        <v>2198</v>
      </c>
      <c r="AO27" s="329">
        <f>ROUND(2139*Belarus*(1-D99),2)</f>
        <v>2139</v>
      </c>
      <c r="AP27" s="329" t="s">
        <v>369</v>
      </c>
      <c r="AQ27" s="329">
        <f>ROUND(3234*Belarus*(1-D99),2)</f>
        <v>3234</v>
      </c>
      <c r="AR27" s="329">
        <f>ROUND(4167*Belarus*(1-D99),2)</f>
        <v>4167</v>
      </c>
    </row>
    <row r="28" spans="1:44">
      <c r="A28" s="1567"/>
      <c r="B28" s="1567"/>
      <c r="C28" s="1445"/>
      <c r="D28" s="1445"/>
      <c r="E28" s="1445"/>
      <c r="F28" s="1445"/>
      <c r="G28" s="1445"/>
      <c r="H28" s="1445"/>
      <c r="I28" s="1445"/>
      <c r="J28" s="1445"/>
      <c r="K28" s="1445"/>
      <c r="L28" s="1445"/>
      <c r="M28" s="1445"/>
      <c r="N28" s="1445"/>
      <c r="O28" s="1445"/>
      <c r="P28" s="1445"/>
      <c r="Q28" s="1445"/>
      <c r="R28" s="1445"/>
      <c r="S28" s="52"/>
      <c r="T28" s="1914"/>
      <c r="U28" s="2213"/>
      <c r="V28" s="2213"/>
      <c r="W28" s="2213"/>
      <c r="X28" s="2213"/>
      <c r="Y28" s="2213"/>
      <c r="Z28" s="2213"/>
      <c r="AA28" s="1915"/>
      <c r="AB28" s="43" t="s">
        <v>1938</v>
      </c>
      <c r="AC28" s="329">
        <f>ROUND(1289*Belarus*(1-D99),2)</f>
        <v>1289</v>
      </c>
      <c r="AD28" s="329">
        <f>ROUND(1668*Belarus*(1-D99),2)</f>
        <v>1668</v>
      </c>
      <c r="AE28" s="329">
        <f>ROUND(1669*Belarus*(1-D99),2)</f>
        <v>1669</v>
      </c>
      <c r="AF28" s="329">
        <f>ROUND(1701*Belarus*(1-D99),2)</f>
        <v>1701</v>
      </c>
      <c r="AG28" s="329">
        <f>ROUND(1717*Belarus*(1-D99),2)</f>
        <v>1717</v>
      </c>
      <c r="AH28" s="329">
        <f>ROUND(1735*Belarus*(1-D99),2)</f>
        <v>1735</v>
      </c>
      <c r="AI28" s="329">
        <f>ROUND(1735*Belarus*(1-D99),2)</f>
        <v>1735</v>
      </c>
      <c r="AJ28" s="329">
        <f>ROUND(2097*Belarus*(1-D99),2)</f>
        <v>2097</v>
      </c>
      <c r="AK28" s="329">
        <f>ROUND(2118*Belarus*(1-D99),2)</f>
        <v>2118</v>
      </c>
      <c r="AL28" s="329">
        <f>ROUND(2638*Belarus*(1-D99),2)</f>
        <v>2638</v>
      </c>
      <c r="AM28" s="329">
        <f>ROUND(2668*Belarus*(1-D99),2)</f>
        <v>2668</v>
      </c>
      <c r="AN28" s="329">
        <f>ROUND(3363*Belarus*(1-D99),2)</f>
        <v>3363</v>
      </c>
      <c r="AO28" s="329">
        <f>ROUND(3303*Belarus*(1-D99),2)</f>
        <v>3303</v>
      </c>
      <c r="AP28" s="329">
        <f>ROUND(3895*Belarus*(1-D99),2)</f>
        <v>3895</v>
      </c>
      <c r="AQ28" s="329">
        <f>ROUND(4680*Belarus*(1-D99),2)</f>
        <v>4680</v>
      </c>
      <c r="AR28" s="329">
        <f>ROUND(6523*Belarus*(1-D99),2)</f>
        <v>6523</v>
      </c>
    </row>
    <row r="29" spans="1:44">
      <c r="A29" s="399" t="s">
        <v>1974</v>
      </c>
      <c r="B29" s="43" t="s">
        <v>1938</v>
      </c>
      <c r="C29" s="329" t="s">
        <v>369</v>
      </c>
      <c r="D29" s="329" t="s">
        <v>369</v>
      </c>
      <c r="E29" s="329">
        <f>ROUND(765*Belarus*(1-D99),2)</f>
        <v>765</v>
      </c>
      <c r="F29" s="329">
        <f>ROUND(798*Belarus*(1-D99),2)</f>
        <v>798</v>
      </c>
      <c r="G29" s="329">
        <f>ROUND(831*Belarus*(1-D99),2)</f>
        <v>831</v>
      </c>
      <c r="H29" s="329" t="s">
        <v>369</v>
      </c>
      <c r="I29" s="329">
        <f>ROUND(897*Belarus*(1-D99),2)</f>
        <v>897</v>
      </c>
      <c r="J29" s="329" t="s">
        <v>369</v>
      </c>
      <c r="K29" s="329" t="s">
        <v>369</v>
      </c>
      <c r="L29" s="329">
        <f>ROUND(1032*Belarus*(1-D99),2)</f>
        <v>1032</v>
      </c>
      <c r="M29" s="329">
        <f>ROUND(1099*Belarus*(1-D99),2)</f>
        <v>1099</v>
      </c>
      <c r="N29" s="329">
        <f>ROUND(1234*Belarus*(1-D99),2)</f>
        <v>1234</v>
      </c>
      <c r="O29" s="329">
        <f>ROUND(1365*Belarus*(1-D99),2)</f>
        <v>1365</v>
      </c>
      <c r="P29" s="329" t="s">
        <v>369</v>
      </c>
      <c r="Q29" s="329">
        <f>ROUND(1697*Belarus*(1-D99),2)</f>
        <v>1697</v>
      </c>
      <c r="R29" s="329" t="s">
        <v>369</v>
      </c>
      <c r="S29" s="52"/>
      <c r="T29" s="2214" t="s">
        <v>6669</v>
      </c>
      <c r="U29" s="1615"/>
      <c r="V29" s="1615"/>
      <c r="W29" s="1615"/>
      <c r="X29" s="1615"/>
      <c r="Y29" s="1615"/>
      <c r="Z29" s="1615"/>
      <c r="AA29" s="2215"/>
      <c r="AB29" s="43" t="s">
        <v>1940</v>
      </c>
      <c r="AC29" s="329">
        <f>ROUND(976*Belarus*(1-D99),2)</f>
        <v>976</v>
      </c>
      <c r="AD29" s="329">
        <f>ROUND(1128*Belarus*(1-D99),2)</f>
        <v>1128</v>
      </c>
      <c r="AE29" s="329">
        <f>ROUND(1128*Belarus*(1-D99),2)</f>
        <v>1128</v>
      </c>
      <c r="AF29" s="329">
        <f>ROUND(1137*Belarus*(1-D99),2)</f>
        <v>1137</v>
      </c>
      <c r="AG29" s="329">
        <f>ROUND(1139*Belarus*(1-D99),2)</f>
        <v>1139</v>
      </c>
      <c r="AH29" s="329">
        <f>ROUND(1162*Belarus*(1-D99),2)</f>
        <v>1162</v>
      </c>
      <c r="AI29" s="329">
        <f>ROUND(1169*Belarus*(1-D99),2)</f>
        <v>1169</v>
      </c>
      <c r="AJ29" s="329" t="s">
        <v>369</v>
      </c>
      <c r="AK29" s="329">
        <f>ROUND(1244*Belarus*(1-D99),2)</f>
        <v>1244</v>
      </c>
      <c r="AL29" s="329">
        <f>ROUND(1514*Belarus*(1-D99),2)</f>
        <v>1514</v>
      </c>
      <c r="AM29" s="329">
        <f>ROUND(1542*Belarus*(1-D99),2)</f>
        <v>1542</v>
      </c>
      <c r="AN29" s="329">
        <f>ROUND(1809*Belarus*(1-D99),2)</f>
        <v>1809</v>
      </c>
      <c r="AO29" s="329">
        <f>ROUND(1788*Belarus*(1-D99),2)</f>
        <v>1788</v>
      </c>
      <c r="AP29" s="329" t="s">
        <v>369</v>
      </c>
      <c r="AQ29" s="329">
        <f>ROUND(2475*Belarus*(1-D99),2)</f>
        <v>2475</v>
      </c>
      <c r="AR29" s="329">
        <f>ROUND(2886*Belarus*(1-D99),2)</f>
        <v>2886</v>
      </c>
    </row>
    <row r="30" spans="1:44">
      <c r="A30" s="399" t="s">
        <v>1975</v>
      </c>
      <c r="B30" s="43" t="s">
        <v>1938</v>
      </c>
      <c r="C30" s="329" t="s">
        <v>369</v>
      </c>
      <c r="D30" s="329" t="s">
        <v>369</v>
      </c>
      <c r="E30" s="329">
        <f>ROUND(547*Belarus*(1-D99),2)</f>
        <v>547</v>
      </c>
      <c r="F30" s="329">
        <f>ROUND(569*Belarus*(1-D99),2)</f>
        <v>569</v>
      </c>
      <c r="G30" s="329">
        <f>ROUND(591*Belarus*(1-D99),2)</f>
        <v>591</v>
      </c>
      <c r="H30" s="329" t="s">
        <v>369</v>
      </c>
      <c r="I30" s="329">
        <f>ROUND(635*Belarus*(1-D99),2)</f>
        <v>635</v>
      </c>
      <c r="J30" s="329" t="s">
        <v>369</v>
      </c>
      <c r="K30" s="329" t="s">
        <v>369</v>
      </c>
      <c r="L30" s="329">
        <f>ROUND(727*Belarus*(1-D99),2)</f>
        <v>727</v>
      </c>
      <c r="M30" s="329">
        <f>ROUND(771*Belarus*(1-D99),2)</f>
        <v>771</v>
      </c>
      <c r="N30" s="329">
        <f>ROUND(864*Belarus*(1-D99),2)</f>
        <v>864</v>
      </c>
      <c r="O30" s="329">
        <f>ROUND(953*Belarus*(1-D99),2)</f>
        <v>953</v>
      </c>
      <c r="P30" s="329" t="s">
        <v>369</v>
      </c>
      <c r="Q30" s="329">
        <f>ROUND(1188*Belarus*(1-D99),2)</f>
        <v>1188</v>
      </c>
      <c r="R30" s="329" t="s">
        <v>369</v>
      </c>
      <c r="S30" s="52"/>
      <c r="T30" s="2216"/>
      <c r="U30" s="2217"/>
      <c r="V30" s="2217"/>
      <c r="W30" s="2217"/>
      <c r="X30" s="2217"/>
      <c r="Y30" s="2217"/>
      <c r="Z30" s="2217"/>
      <c r="AA30" s="2218"/>
      <c r="AB30" s="43" t="s">
        <v>1938</v>
      </c>
      <c r="AC30" s="329">
        <f>ROUND(1185*Belarus*(1-D99),2)</f>
        <v>1185</v>
      </c>
      <c r="AD30" s="329">
        <f>ROUND(1400*Belarus*(1-D99),2)</f>
        <v>1400</v>
      </c>
      <c r="AE30" s="329">
        <f>ROUND(1399*Belarus*(1-D99),2)</f>
        <v>1399</v>
      </c>
      <c r="AF30" s="329">
        <f>ROUND(1410*Belarus*(1-D99),2)</f>
        <v>1410</v>
      </c>
      <c r="AG30" s="329">
        <f>ROUND(1412*Belarus*(1-D99),2)</f>
        <v>1412</v>
      </c>
      <c r="AH30" s="329">
        <f>ROUND(1441*Belarus*(1-D99),2)</f>
        <v>1441</v>
      </c>
      <c r="AI30" s="329">
        <f>ROUND(1441*Belarus*(1-D99),2)</f>
        <v>1441</v>
      </c>
      <c r="AJ30" s="329">
        <f>ROUND(1627*Belarus*(1-D99),2)</f>
        <v>1627</v>
      </c>
      <c r="AK30" s="329">
        <f>ROUND(1623*Belarus*(1-D99),2)</f>
        <v>1623</v>
      </c>
      <c r="AL30" s="329">
        <f>ROUND(1947*Belarus*(1-D99),2)</f>
        <v>1947</v>
      </c>
      <c r="AM30" s="329">
        <f>ROUND(1974*Belarus*(1-D99),2)</f>
        <v>1974</v>
      </c>
      <c r="AN30" s="329">
        <f>ROUND(2340*Belarus*(1-D99),2)</f>
        <v>2340</v>
      </c>
      <c r="AO30" s="329">
        <f>ROUND(2319*Belarus*(1-D99),2)</f>
        <v>2319</v>
      </c>
      <c r="AP30" s="329">
        <f>ROUND(2476*Belarus*(1-D99),2)</f>
        <v>2476</v>
      </c>
      <c r="AQ30" s="329">
        <f>ROUND(3264*Belarus*(1-D99),2)</f>
        <v>3264</v>
      </c>
      <c r="AR30" s="329">
        <f>ROUND(4407*Belarus*(1-D99),2)</f>
        <v>4407</v>
      </c>
    </row>
    <row r="31" spans="1:44">
      <c r="A31" s="399" t="s">
        <v>1976</v>
      </c>
      <c r="B31" s="43" t="s">
        <v>1938</v>
      </c>
      <c r="C31" s="329" t="s">
        <v>369</v>
      </c>
      <c r="D31" s="329" t="s">
        <v>369</v>
      </c>
      <c r="E31" s="329">
        <f>ROUND(310*Belarus*(1-D99),2)</f>
        <v>310</v>
      </c>
      <c r="F31" s="329">
        <f>ROUND(322*Belarus*(1-D99),2)</f>
        <v>322</v>
      </c>
      <c r="G31" s="329">
        <f>ROUND(333*Belarus*(1-D99),2)</f>
        <v>333</v>
      </c>
      <c r="H31" s="329" t="s">
        <v>369</v>
      </c>
      <c r="I31" s="329">
        <f>ROUND(356*Belarus*(1-D99),2)</f>
        <v>356</v>
      </c>
      <c r="J31" s="329" t="s">
        <v>369</v>
      </c>
      <c r="K31" s="329" t="s">
        <v>369</v>
      </c>
      <c r="L31" s="329">
        <f>ROUND(405*Belarus*(1-D99),2)</f>
        <v>405</v>
      </c>
      <c r="M31" s="329">
        <f>ROUND(428*Belarus*(1-D99),2)</f>
        <v>428</v>
      </c>
      <c r="N31" s="329">
        <f>ROUND(479*Belarus*(1-D99),2)</f>
        <v>479</v>
      </c>
      <c r="O31" s="329">
        <f>ROUND(524*Belarus*(1-D99),2)</f>
        <v>524</v>
      </c>
      <c r="P31" s="329" t="s">
        <v>369</v>
      </c>
      <c r="Q31" s="329">
        <f>ROUND(653*Belarus*(1-D99),2)</f>
        <v>653</v>
      </c>
      <c r="R31" s="329" t="s">
        <v>369</v>
      </c>
      <c r="S31" s="52"/>
      <c r="T31" s="1910" t="s">
        <v>1970</v>
      </c>
      <c r="U31" s="2212"/>
      <c r="V31" s="2212"/>
      <c r="W31" s="2212"/>
      <c r="X31" s="2212"/>
      <c r="Y31" s="2212"/>
      <c r="Z31" s="2212"/>
      <c r="AA31" s="1911"/>
      <c r="AB31" s="43" t="s">
        <v>1940</v>
      </c>
      <c r="AC31" s="329">
        <f>ROUND(518*Belarus*(1-D99),2)</f>
        <v>518</v>
      </c>
      <c r="AD31" s="329">
        <f>ROUND(518*Belarus*(1-D99),2)</f>
        <v>518</v>
      </c>
      <c r="AE31" s="329">
        <f>ROUND(518*Belarus*(1-D99),2)</f>
        <v>518</v>
      </c>
      <c r="AF31" s="329">
        <f>ROUND(523*Belarus*(1-D99),2)</f>
        <v>523</v>
      </c>
      <c r="AG31" s="329">
        <f>ROUND(524*Belarus*(1-D99),2)</f>
        <v>524</v>
      </c>
      <c r="AH31" s="329">
        <f>ROUND(530*Belarus*(1-D99),2)</f>
        <v>530</v>
      </c>
      <c r="AI31" s="329">
        <f>ROUND(550*Belarus*(1-D99),2)</f>
        <v>550</v>
      </c>
      <c r="AJ31" s="329" t="s">
        <v>369</v>
      </c>
      <c r="AK31" s="329">
        <f>ROUND(562*Belarus*(1-D99),2)</f>
        <v>562</v>
      </c>
      <c r="AL31" s="329">
        <f>ROUND(633*Belarus*(1-D99),2)</f>
        <v>633</v>
      </c>
      <c r="AM31" s="329">
        <f>ROUND(645*Belarus*(1-D99),2)</f>
        <v>645</v>
      </c>
      <c r="AN31" s="329">
        <f>ROUND(707*Belarus*(1-D99),2)</f>
        <v>707</v>
      </c>
      <c r="AO31" s="329">
        <f>ROUND(732*Belarus*(1-D99),2)</f>
        <v>732</v>
      </c>
      <c r="AP31" s="329" t="s">
        <v>369</v>
      </c>
      <c r="AQ31" s="329">
        <f>ROUND(939*Belarus*(1-D99),2)</f>
        <v>939</v>
      </c>
      <c r="AR31" s="329">
        <f>ROUND(1118*Belarus*(1-D99),2)</f>
        <v>1118</v>
      </c>
    </row>
    <row r="32" spans="1:44" ht="12.75" customHeight="1">
      <c r="A32" s="399" t="s">
        <v>1977</v>
      </c>
      <c r="B32" s="43" t="s">
        <v>1938</v>
      </c>
      <c r="C32" s="329" t="s">
        <v>369</v>
      </c>
      <c r="D32" s="329" t="s">
        <v>369</v>
      </c>
      <c r="E32" s="329">
        <f>ROUND(176*Belarus*(1-D99),2)</f>
        <v>176</v>
      </c>
      <c r="F32" s="329">
        <f>ROUND(195*Belarus*(1-D99),2)</f>
        <v>195</v>
      </c>
      <c r="G32" s="329">
        <f>ROUND(203*Belarus*(1-D99),2)</f>
        <v>203</v>
      </c>
      <c r="H32" s="329" t="s">
        <v>369</v>
      </c>
      <c r="I32" s="329">
        <f>ROUND(216*Belarus*(1-D99),2)</f>
        <v>216</v>
      </c>
      <c r="J32" s="329" t="s">
        <v>369</v>
      </c>
      <c r="K32" s="329" t="s">
        <v>369</v>
      </c>
      <c r="L32" s="329">
        <f>ROUND(244*Belarus*(1-D99),2)</f>
        <v>244</v>
      </c>
      <c r="M32" s="329">
        <f>ROUND(258*Belarus*(1-D99),2)</f>
        <v>258</v>
      </c>
      <c r="N32" s="329">
        <f>ROUND(286*Belarus*(1-D99),2)</f>
        <v>286</v>
      </c>
      <c r="O32" s="329">
        <f>ROUND(312*Belarus*(1-D99),2)</f>
        <v>312</v>
      </c>
      <c r="P32" s="329" t="s">
        <v>369</v>
      </c>
      <c r="Q32" s="329">
        <f>ROUND(371*Belarus*(1-D99),2)</f>
        <v>371</v>
      </c>
      <c r="R32" s="329" t="s">
        <v>369</v>
      </c>
      <c r="S32" s="52"/>
      <c r="T32" s="1914"/>
      <c r="U32" s="2213"/>
      <c r="V32" s="2213"/>
      <c r="W32" s="2213"/>
      <c r="X32" s="2213"/>
      <c r="Y32" s="2213"/>
      <c r="Z32" s="2213"/>
      <c r="AA32" s="1915"/>
      <c r="AB32" s="43" t="s">
        <v>1938</v>
      </c>
      <c r="AC32" s="329">
        <f>ROUND(809*Belarus*(1-D99),2)</f>
        <v>809</v>
      </c>
      <c r="AD32" s="329">
        <f>ROUND(809*Belarus*(1-D99),2)</f>
        <v>809</v>
      </c>
      <c r="AE32" s="329">
        <f>AD32</f>
        <v>809</v>
      </c>
      <c r="AF32" s="329">
        <f>AD32</f>
        <v>809</v>
      </c>
      <c r="AG32" s="329">
        <f>AD32</f>
        <v>809</v>
      </c>
      <c r="AH32" s="329">
        <f>AD32</f>
        <v>809</v>
      </c>
      <c r="AI32" s="329">
        <f>ROUND(845*Belarus*(1-D99),2)</f>
        <v>845</v>
      </c>
      <c r="AJ32" s="329">
        <f>AI32</f>
        <v>845</v>
      </c>
      <c r="AK32" s="329">
        <f>ROUND(859*Belarus*(1-D99),2)</f>
        <v>859</v>
      </c>
      <c r="AL32" s="329">
        <f>ROUND(1025*Belarus*(1-D99),2)</f>
        <v>1025</v>
      </c>
      <c r="AM32" s="329">
        <f>ROUND(1040*Belarus*(1-D99),2)</f>
        <v>1040</v>
      </c>
      <c r="AN32" s="329">
        <f>ROUND(1159*Belarus*(1-D99),2)</f>
        <v>1159</v>
      </c>
      <c r="AO32" s="329">
        <f>ROUND(1189*Belarus*(1-D99),2)</f>
        <v>1189</v>
      </c>
      <c r="AP32" s="329">
        <f>ROUND(1296*Belarus*(1-D99),2)</f>
        <v>1296</v>
      </c>
      <c r="AQ32" s="329">
        <f>ROUND(1602*Belarus*(1-D99),2)</f>
        <v>1602</v>
      </c>
      <c r="AR32" s="329">
        <f>ROUND(1947*Belarus*(1-D99),2)</f>
        <v>1947</v>
      </c>
    </row>
    <row r="33" spans="1:44" ht="12.75" customHeight="1">
      <c r="A33" s="399" t="s">
        <v>1979</v>
      </c>
      <c r="B33" s="43" t="s">
        <v>1938</v>
      </c>
      <c r="C33" s="329" t="s">
        <v>369</v>
      </c>
      <c r="D33" s="329" t="s">
        <v>369</v>
      </c>
      <c r="E33" s="329">
        <f>ROUND(647*Belarus*(1-D99),2)</f>
        <v>647</v>
      </c>
      <c r="F33" s="329">
        <f>ROUND(669*Belarus*(1-D99),2)</f>
        <v>669</v>
      </c>
      <c r="G33" s="329">
        <f>ROUND(689*Belarus*(1-D99),2)</f>
        <v>689</v>
      </c>
      <c r="H33" s="329" t="s">
        <v>369</v>
      </c>
      <c r="I33" s="329">
        <f>ROUND(731*Belarus*(1-D99),2)</f>
        <v>731</v>
      </c>
      <c r="J33" s="329" t="s">
        <v>369</v>
      </c>
      <c r="K33" s="329" t="s">
        <v>369</v>
      </c>
      <c r="L33" s="329">
        <f>ROUND(818*Belarus*(1-D99),2)</f>
        <v>818</v>
      </c>
      <c r="M33" s="329">
        <f>ROUND(861*Belarus*(1-D99),2)</f>
        <v>861</v>
      </c>
      <c r="N33" s="329">
        <f>ROUND(952*Belarus*(1-D99),2)</f>
        <v>952</v>
      </c>
      <c r="O33" s="329">
        <f>ROUND(1155*Belarus*(1-D99),2)</f>
        <v>1155</v>
      </c>
      <c r="P33" s="329" t="s">
        <v>369</v>
      </c>
      <c r="Q33" s="329">
        <f>ROUND(1510*Belarus*(1-D99),2)</f>
        <v>1510</v>
      </c>
      <c r="R33" s="329" t="s">
        <v>369</v>
      </c>
      <c r="S33" s="52"/>
      <c r="T33" s="1356" t="s">
        <v>1972</v>
      </c>
      <c r="U33" s="1357"/>
      <c r="V33" s="1357"/>
      <c r="W33" s="1357"/>
      <c r="X33" s="1357"/>
      <c r="Y33" s="1357"/>
      <c r="Z33" s="1357"/>
      <c r="AA33" s="1358"/>
      <c r="AB33" s="43" t="s">
        <v>1938</v>
      </c>
      <c r="AC33" s="329">
        <f>ROUND(744*Belarus*(1-D99),2)</f>
        <v>744</v>
      </c>
      <c r="AD33" s="329">
        <f>ROUND(744*Belarus*(1-D99),2)</f>
        <v>744</v>
      </c>
      <c r="AE33" s="329">
        <f>ROUND(744*Belarus*(1-D99),2)</f>
        <v>744</v>
      </c>
      <c r="AF33" s="329">
        <f>ROUND(752*Belarus*(1-D99),2)</f>
        <v>752</v>
      </c>
      <c r="AG33" s="329">
        <f>ROUND(759*Belarus*(1-D99),2)</f>
        <v>759</v>
      </c>
      <c r="AH33" s="329">
        <f>ROUND(774*Belarus*(1-D99),2)</f>
        <v>774</v>
      </c>
      <c r="AI33" s="329">
        <f>ROUND(823*Belarus*(1-D99),2)</f>
        <v>823</v>
      </c>
      <c r="AJ33" s="329">
        <f>ROUND(823*Belarus*(1-D99),2)</f>
        <v>823</v>
      </c>
      <c r="AK33" s="329">
        <f>ROUND(838*Belarus*(1-D99),2)</f>
        <v>838</v>
      </c>
      <c r="AL33" s="329">
        <f>ROUND(957*Belarus*(1-D99),2)</f>
        <v>957</v>
      </c>
      <c r="AM33" s="329">
        <f>ROUND(991*Belarus*(1-D99),2)</f>
        <v>991</v>
      </c>
      <c r="AN33" s="329">
        <f>ROUND(1089*Belarus*(1-D99),2)</f>
        <v>1089</v>
      </c>
      <c r="AO33" s="329">
        <f>ROUND(1119*Belarus*(1-D99),2)</f>
        <v>1119</v>
      </c>
      <c r="AP33" s="329">
        <f>ROUND(1534*Belarus*(1-D99),2)</f>
        <v>1534</v>
      </c>
      <c r="AQ33" s="329">
        <f>ROUND(1534*Belarus*(1-D99),2)</f>
        <v>1534</v>
      </c>
      <c r="AR33" s="329">
        <f>ROUND(1941*Belarus*(1-D99),2)</f>
        <v>1941</v>
      </c>
    </row>
    <row r="34" spans="1:44" ht="15" customHeight="1">
      <c r="A34" s="399" t="s">
        <v>1982</v>
      </c>
      <c r="B34" s="43" t="s">
        <v>1938</v>
      </c>
      <c r="C34" s="329" t="s">
        <v>369</v>
      </c>
      <c r="D34" s="329" t="s">
        <v>369</v>
      </c>
      <c r="E34" s="329">
        <f>ROUND(1240*Belarus*(1-D99),2)</f>
        <v>1240</v>
      </c>
      <c r="F34" s="329">
        <f>ROUND(1292*Belarus*(1-D99),2)</f>
        <v>1292</v>
      </c>
      <c r="G34" s="329">
        <f>ROUND(1347*Belarus*(1-D99),2)</f>
        <v>1347</v>
      </c>
      <c r="H34" s="329" t="s">
        <v>369</v>
      </c>
      <c r="I34" s="329">
        <f>ROUND(1456*Belarus*(1-D99),2)</f>
        <v>1456</v>
      </c>
      <c r="J34" s="329" t="s">
        <v>369</v>
      </c>
      <c r="K34" s="329" t="s">
        <v>369</v>
      </c>
      <c r="L34" s="329">
        <f>ROUND(1681*Belarus*(1-D99),2)</f>
        <v>1681</v>
      </c>
      <c r="M34" s="329">
        <f>ROUND(1814*Belarus*(1-D99),2)</f>
        <v>1814</v>
      </c>
      <c r="N34" s="329">
        <f>ROUND(2054*Belarus*(1-D99),2)</f>
        <v>2054</v>
      </c>
      <c r="O34" s="329">
        <f>ROUND(2304*Belarus*(1-D99),2)</f>
        <v>2304</v>
      </c>
      <c r="P34" s="329" t="s">
        <v>369</v>
      </c>
      <c r="Q34" s="329">
        <f>ROUND(3578*Belarus*(1-D99),2)</f>
        <v>3578</v>
      </c>
      <c r="R34" s="329" t="s">
        <v>369</v>
      </c>
      <c r="S34" s="52"/>
      <c r="T34" s="55"/>
      <c r="U34" s="55"/>
      <c r="V34" s="55"/>
      <c r="W34" s="55"/>
      <c r="X34" s="55"/>
      <c r="Y34" s="55"/>
      <c r="Z34" s="55"/>
      <c r="AA34" s="55"/>
      <c r="AB34" s="134"/>
      <c r="AC34" s="134"/>
      <c r="AD34" s="134"/>
      <c r="AE34" s="134"/>
      <c r="AF34" s="134"/>
      <c r="AG34" s="134"/>
      <c r="AH34" s="134"/>
      <c r="AI34" s="134"/>
      <c r="AJ34" s="134"/>
      <c r="AK34" s="134"/>
      <c r="AL34" s="134"/>
      <c r="AM34" s="134"/>
      <c r="AN34" s="134"/>
      <c r="AO34" s="134"/>
      <c r="AP34" s="134"/>
      <c r="AQ34" s="134"/>
      <c r="AR34" s="134"/>
    </row>
    <row r="35" spans="1:44" ht="18.75" customHeight="1">
      <c r="A35" s="399" t="s">
        <v>1983</v>
      </c>
      <c r="B35" s="43" t="s">
        <v>1938</v>
      </c>
      <c r="C35" s="329" t="s">
        <v>369</v>
      </c>
      <c r="D35" s="329" t="s">
        <v>369</v>
      </c>
      <c r="E35" s="329">
        <f>ROUND(903*Belarus*(1-D99),2)</f>
        <v>903</v>
      </c>
      <c r="F35" s="329">
        <f>ROUND(939*Belarus*(1-D99),2)</f>
        <v>939</v>
      </c>
      <c r="G35" s="329">
        <f>ROUND(975*Belarus*(1-D99),2)</f>
        <v>975</v>
      </c>
      <c r="H35" s="329" t="s">
        <v>369</v>
      </c>
      <c r="I35" s="329">
        <f>ROUND(1045*Belarus*(1-D99),2)</f>
        <v>1045</v>
      </c>
      <c r="J35" s="329" t="s">
        <v>369</v>
      </c>
      <c r="K35" s="329" t="s">
        <v>369</v>
      </c>
      <c r="L35" s="329">
        <f>ROUND(1367*Belarus*(1-D99),2)</f>
        <v>1367</v>
      </c>
      <c r="M35" s="329">
        <f>ROUND(1454*Belarus*(1-D99),2)</f>
        <v>1454</v>
      </c>
      <c r="N35" s="329">
        <f>ROUND(1630*Belarus*(1-D99),2)</f>
        <v>1630</v>
      </c>
      <c r="O35" s="329">
        <f>ROUND(1799*Belarus*(1-D99),2)</f>
        <v>1799</v>
      </c>
      <c r="P35" s="329" t="s">
        <v>369</v>
      </c>
      <c r="Q35" s="329">
        <f>ROUND(2572*Belarus*(1-D99),2)</f>
        <v>2572</v>
      </c>
      <c r="R35" s="329" t="s">
        <v>369</v>
      </c>
      <c r="S35" s="52"/>
      <c r="T35" s="2220" t="s">
        <v>1973</v>
      </c>
      <c r="U35" s="222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R35" s="2220"/>
    </row>
    <row r="36" spans="1:44" ht="15" customHeight="1">
      <c r="A36" s="399" t="s">
        <v>1985</v>
      </c>
      <c r="B36" s="43" t="s">
        <v>1938</v>
      </c>
      <c r="C36" s="329" t="s">
        <v>369</v>
      </c>
      <c r="D36" s="329" t="s">
        <v>369</v>
      </c>
      <c r="E36" s="329">
        <f>E35</f>
        <v>903</v>
      </c>
      <c r="F36" s="329">
        <f t="shared" ref="F36:R36" si="1">F35</f>
        <v>939</v>
      </c>
      <c r="G36" s="329">
        <f t="shared" si="1"/>
        <v>975</v>
      </c>
      <c r="H36" s="329" t="str">
        <f t="shared" si="1"/>
        <v>-</v>
      </c>
      <c r="I36" s="329">
        <f t="shared" si="1"/>
        <v>1045</v>
      </c>
      <c r="J36" s="329" t="str">
        <f t="shared" si="1"/>
        <v>-</v>
      </c>
      <c r="K36" s="329" t="str">
        <f t="shared" si="1"/>
        <v>-</v>
      </c>
      <c r="L36" s="329">
        <f t="shared" si="1"/>
        <v>1367</v>
      </c>
      <c r="M36" s="329">
        <f t="shared" si="1"/>
        <v>1454</v>
      </c>
      <c r="N36" s="329">
        <f t="shared" si="1"/>
        <v>1630</v>
      </c>
      <c r="O36" s="329">
        <f t="shared" si="1"/>
        <v>1799</v>
      </c>
      <c r="P36" s="329" t="str">
        <f t="shared" si="1"/>
        <v>-</v>
      </c>
      <c r="Q36" s="329">
        <f t="shared" si="1"/>
        <v>2572</v>
      </c>
      <c r="R36" s="329" t="str">
        <f t="shared" si="1"/>
        <v>-</v>
      </c>
      <c r="S36" s="52"/>
      <c r="T36" s="2220"/>
      <c r="U36" s="2220"/>
      <c r="V36" s="2220"/>
      <c r="W36" s="2220"/>
      <c r="X36" s="2220"/>
      <c r="Y36" s="2220"/>
      <c r="Z36" s="2220"/>
      <c r="AA36" s="2220"/>
      <c r="AB36" s="2220"/>
      <c r="AC36" s="2220"/>
      <c r="AD36" s="2220"/>
      <c r="AE36" s="2220"/>
      <c r="AF36" s="2220"/>
      <c r="AG36" s="2220"/>
      <c r="AH36" s="2220"/>
      <c r="AI36" s="2220"/>
      <c r="AJ36" s="2220"/>
      <c r="AK36" s="2220"/>
      <c r="AL36" s="2220"/>
      <c r="AM36" s="2220"/>
      <c r="AN36" s="2220"/>
      <c r="AO36" s="2220"/>
      <c r="AP36" s="2220"/>
      <c r="AQ36" s="2220"/>
      <c r="AR36" s="2220"/>
    </row>
    <row r="37" spans="1:44" ht="15" customHeight="1">
      <c r="A37" s="399" t="s">
        <v>1987</v>
      </c>
      <c r="B37" s="43" t="s">
        <v>1938</v>
      </c>
      <c r="C37" s="329" t="s">
        <v>369</v>
      </c>
      <c r="D37" s="329" t="s">
        <v>369</v>
      </c>
      <c r="E37" s="329">
        <f>ROUND(515*Belarus*(1-D99),2)</f>
        <v>515</v>
      </c>
      <c r="F37" s="329">
        <f>ROUND(530*Belarus*(1-D99),2)</f>
        <v>530</v>
      </c>
      <c r="G37" s="329">
        <f>ROUND(546*Belarus*(1-D99),2)</f>
        <v>546</v>
      </c>
      <c r="H37" s="329" t="s">
        <v>369</v>
      </c>
      <c r="I37" s="329">
        <f>ROUND(576*Belarus*(1-D99),2)</f>
        <v>576</v>
      </c>
      <c r="J37" s="329" t="s">
        <v>369</v>
      </c>
      <c r="K37" s="329" t="s">
        <v>369</v>
      </c>
      <c r="L37" s="329">
        <f>ROUND(635*Belarus*(1-D99),2)</f>
        <v>635</v>
      </c>
      <c r="M37" s="329">
        <f>ROUND(669*Belarus*(1-D99),2)</f>
        <v>669</v>
      </c>
      <c r="N37" s="329">
        <f>ROUND(913*Belarus*(1-D99),2)</f>
        <v>913</v>
      </c>
      <c r="O37" s="329">
        <f>ROUND(994*Belarus*(1-D99),2)</f>
        <v>994</v>
      </c>
      <c r="P37" s="329" t="s">
        <v>369</v>
      </c>
      <c r="Q37" s="329">
        <f>ROUND(1194*Belarus*(1-D99),2)</f>
        <v>1194</v>
      </c>
      <c r="R37" s="329" t="s">
        <v>369</v>
      </c>
      <c r="S37" s="52"/>
      <c r="T37" s="2220"/>
      <c r="U37" s="2220"/>
      <c r="V37" s="2220"/>
      <c r="W37" s="2220"/>
      <c r="X37" s="2220"/>
      <c r="Y37" s="2220"/>
      <c r="Z37" s="2220"/>
      <c r="AA37" s="2220"/>
      <c r="AB37" s="2220"/>
      <c r="AC37" s="2220"/>
      <c r="AD37" s="2220"/>
      <c r="AE37" s="2220"/>
      <c r="AF37" s="2220"/>
      <c r="AG37" s="2220"/>
      <c r="AH37" s="2220"/>
      <c r="AI37" s="2220"/>
      <c r="AJ37" s="2220"/>
      <c r="AK37" s="2220"/>
      <c r="AL37" s="2220"/>
      <c r="AM37" s="2220"/>
      <c r="AN37" s="2220"/>
      <c r="AO37" s="2220"/>
      <c r="AP37" s="2220"/>
      <c r="AQ37" s="2220"/>
      <c r="AR37" s="2220"/>
    </row>
    <row r="38" spans="1:44" ht="15" customHeight="1">
      <c r="A38" s="399" t="s">
        <v>1989</v>
      </c>
      <c r="B38" s="43" t="s">
        <v>1938</v>
      </c>
      <c r="C38" s="329" t="s">
        <v>369</v>
      </c>
      <c r="D38" s="329" t="s">
        <v>369</v>
      </c>
      <c r="E38" s="329">
        <f>ROUND(627*Belarus*(1-D99),2)</f>
        <v>627</v>
      </c>
      <c r="F38" s="329">
        <f>ROUND(646*Belarus*(1-D99),2)</f>
        <v>646</v>
      </c>
      <c r="G38" s="329">
        <f>ROUND(667*Belarus*(1-D99),2)</f>
        <v>667</v>
      </c>
      <c r="H38" s="329" t="s">
        <v>369</v>
      </c>
      <c r="I38" s="329">
        <f>ROUND(707*Belarus*(1-D99),2)</f>
        <v>707</v>
      </c>
      <c r="J38" s="329" t="s">
        <v>369</v>
      </c>
      <c r="K38" s="329" t="s">
        <v>369</v>
      </c>
      <c r="L38" s="329">
        <f>ROUND(787*Belarus*(1-D99),2)</f>
        <v>787</v>
      </c>
      <c r="M38" s="329">
        <f>ROUND(831*Belarus*(1-D99),2)</f>
        <v>831</v>
      </c>
      <c r="N38" s="329">
        <f>ROUND(1280*Belarus*(1-D99),2)</f>
        <v>1280</v>
      </c>
      <c r="O38" s="329">
        <f>ROUND(1401*Belarus*(1-D99),2)</f>
        <v>1401</v>
      </c>
      <c r="P38" s="329" t="s">
        <v>369</v>
      </c>
      <c r="Q38" s="329">
        <f>ROUND(1701*Belarus*(1-D99),2)</f>
        <v>1701</v>
      </c>
      <c r="R38" s="329" t="s">
        <v>369</v>
      </c>
      <c r="S38" s="52"/>
      <c r="T38" s="1491" t="s">
        <v>1931</v>
      </c>
      <c r="U38" s="1491"/>
      <c r="V38" s="1491"/>
      <c r="W38" s="1491"/>
      <c r="X38" s="1491"/>
      <c r="Y38" s="1491"/>
      <c r="Z38" s="1491"/>
      <c r="AA38" s="1491"/>
      <c r="AB38" s="1495" t="s">
        <v>1933</v>
      </c>
      <c r="AC38" s="1292" t="s">
        <v>1494</v>
      </c>
      <c r="AD38" s="1292"/>
      <c r="AE38" s="1292"/>
      <c r="AF38" s="1292"/>
      <c r="AG38" s="1292"/>
      <c r="AH38" s="1292"/>
      <c r="AI38" s="1292"/>
      <c r="AJ38" s="1292"/>
      <c r="AK38" s="1292"/>
      <c r="AL38" s="1292"/>
      <c r="AM38" s="1292"/>
      <c r="AN38" s="1292"/>
      <c r="AO38" s="1292"/>
      <c r="AP38" s="1292"/>
      <c r="AQ38" s="1292"/>
      <c r="AR38" s="1292"/>
    </row>
    <row r="39" spans="1:44">
      <c r="A39" s="399" t="s">
        <v>1991</v>
      </c>
      <c r="B39" s="43" t="s">
        <v>1938</v>
      </c>
      <c r="C39" s="329" t="s">
        <v>369</v>
      </c>
      <c r="D39" s="329">
        <f>ROUND(388*Belarus*(1-D99),2)</f>
        <v>388</v>
      </c>
      <c r="E39" s="329">
        <f>ROUND(415*Belarus*(1-D99),2)</f>
        <v>415</v>
      </c>
      <c r="F39" s="329">
        <f>ROUND(434*Belarus*(1-D99),2)</f>
        <v>434</v>
      </c>
      <c r="G39" s="329">
        <f>ROUND(456*Belarus*(1-D99),2)</f>
        <v>456</v>
      </c>
      <c r="H39" s="329">
        <f>ROUND(481*Belarus*(1-D99),2)</f>
        <v>481</v>
      </c>
      <c r="I39" s="329">
        <f>ROUND(479*Belarus*(1-D99),2)</f>
        <v>479</v>
      </c>
      <c r="J39" s="329">
        <f>ROUND(481*Belarus*(1-D99),2)</f>
        <v>481</v>
      </c>
      <c r="K39" s="329">
        <f>ROUND(553*Belarus*(1-D99),2)</f>
        <v>553</v>
      </c>
      <c r="L39" s="329">
        <f>ROUND(550*Belarus*(1-D99),2)</f>
        <v>550</v>
      </c>
      <c r="M39" s="329">
        <f>ROUND(640*Belarus*(1-D99),2)</f>
        <v>640</v>
      </c>
      <c r="N39" s="329">
        <f>ROUND(805*Belarus*(1-D99),2)</f>
        <v>805</v>
      </c>
      <c r="O39" s="329">
        <f>ROUND(914*Belarus*(1-D99),2)</f>
        <v>914</v>
      </c>
      <c r="P39" s="329">
        <f>ROUND(1102*Belarus*(1-D99),2)</f>
        <v>1102</v>
      </c>
      <c r="Q39" s="329">
        <f>ROUND(1102*Belarus*(1-D99),2)</f>
        <v>1102</v>
      </c>
      <c r="R39" s="329">
        <f>ROUND(1784*Belarus*(1-D99),2)</f>
        <v>1784</v>
      </c>
      <c r="S39" s="52"/>
      <c r="T39" s="1283" t="s">
        <v>1935</v>
      </c>
      <c r="U39" s="1283"/>
      <c r="V39" s="1283"/>
      <c r="W39" s="1283"/>
      <c r="X39" s="1283"/>
      <c r="Y39" s="1283"/>
      <c r="Z39" s="1283"/>
      <c r="AA39" s="1283"/>
      <c r="AB39" s="1470"/>
      <c r="AC39" s="89">
        <v>80</v>
      </c>
      <c r="AD39" s="89">
        <v>100</v>
      </c>
      <c r="AE39" s="89">
        <v>110</v>
      </c>
      <c r="AF39" s="89">
        <v>115</v>
      </c>
      <c r="AG39" s="89">
        <v>120</v>
      </c>
      <c r="AH39" s="89">
        <v>130</v>
      </c>
      <c r="AI39" s="89">
        <v>135</v>
      </c>
      <c r="AJ39" s="89">
        <v>140</v>
      </c>
      <c r="AK39" s="89">
        <v>150</v>
      </c>
      <c r="AL39" s="89">
        <v>150</v>
      </c>
      <c r="AM39" s="89">
        <v>160</v>
      </c>
      <c r="AN39" s="89">
        <v>180</v>
      </c>
      <c r="AO39" s="89">
        <v>200</v>
      </c>
      <c r="AP39" s="89">
        <v>220</v>
      </c>
      <c r="AQ39" s="89">
        <v>250</v>
      </c>
      <c r="AR39" s="89">
        <v>300</v>
      </c>
    </row>
    <row r="40" spans="1:44">
      <c r="S40" s="52"/>
      <c r="T40" s="1283" t="s">
        <v>1936</v>
      </c>
      <c r="U40" s="1283"/>
      <c r="V40" s="1283"/>
      <c r="W40" s="1283"/>
      <c r="X40" s="1283"/>
      <c r="Y40" s="1283"/>
      <c r="Z40" s="1283"/>
      <c r="AA40" s="1283"/>
      <c r="AB40" s="1496"/>
      <c r="AC40" s="89">
        <v>160</v>
      </c>
      <c r="AD40" s="89">
        <v>200</v>
      </c>
      <c r="AE40" s="89">
        <v>200</v>
      </c>
      <c r="AF40" s="89">
        <v>200</v>
      </c>
      <c r="AG40" s="89">
        <v>200</v>
      </c>
      <c r="AH40" s="89">
        <v>200</v>
      </c>
      <c r="AI40" s="89">
        <v>200</v>
      </c>
      <c r="AJ40" s="89">
        <v>210</v>
      </c>
      <c r="AK40" s="89">
        <v>210</v>
      </c>
      <c r="AL40" s="89">
        <v>250</v>
      </c>
      <c r="AM40" s="89">
        <v>250</v>
      </c>
      <c r="AN40" s="89">
        <v>280</v>
      </c>
      <c r="AO40" s="89">
        <v>280</v>
      </c>
      <c r="AP40" s="89">
        <v>300</v>
      </c>
      <c r="AQ40" s="89">
        <v>350</v>
      </c>
      <c r="AR40" s="89">
        <v>400</v>
      </c>
    </row>
    <row r="41" spans="1:44">
      <c r="S41" s="52"/>
      <c r="T41" s="1910" t="s">
        <v>1978</v>
      </c>
      <c r="U41" s="2212"/>
      <c r="V41" s="2212"/>
      <c r="W41" s="2212"/>
      <c r="X41" s="2212"/>
      <c r="Y41" s="2212"/>
      <c r="Z41" s="2212"/>
      <c r="AA41" s="1911"/>
      <c r="AB41" s="43" t="s">
        <v>1940</v>
      </c>
      <c r="AC41" s="329" t="s">
        <v>369</v>
      </c>
      <c r="AD41" s="329" t="s">
        <v>369</v>
      </c>
      <c r="AE41" s="329">
        <f>ROUND(1591*Belarus*(1-D99),2)</f>
        <v>1591</v>
      </c>
      <c r="AF41" s="329">
        <f>ROUND(1617*Belarus*(1-D99),2)</f>
        <v>1617</v>
      </c>
      <c r="AG41" s="329">
        <f>ROUND(1642*Belarus*(1-D99),2)</f>
        <v>1642</v>
      </c>
      <c r="AH41" s="329">
        <f>ROUND(1720*Belarus*(1-D99),2)</f>
        <v>1720</v>
      </c>
      <c r="AI41" s="329" t="s">
        <v>369</v>
      </c>
      <c r="AJ41" s="329" t="s">
        <v>369</v>
      </c>
      <c r="AK41" s="329">
        <f>ROUND(1861*Belarus*(1-D99),2)</f>
        <v>1861</v>
      </c>
      <c r="AL41" s="329">
        <f>ROUND(2111*Belarus*(1-D99),2)</f>
        <v>2111</v>
      </c>
      <c r="AM41" s="329">
        <f>ROUND(2156*Belarus*(1-D99),2)</f>
        <v>2156</v>
      </c>
      <c r="AN41" s="329">
        <f>ROUND(2474*Belarus*(1-D99),2)</f>
        <v>2474</v>
      </c>
      <c r="AO41" s="329">
        <f>ROUND(2556*Belarus*(1-D99),2)</f>
        <v>2556</v>
      </c>
      <c r="AP41" s="329" t="s">
        <v>369</v>
      </c>
      <c r="AQ41" s="329">
        <f>ROUND(3407*Belarus*(1-D99),2)</f>
        <v>3407</v>
      </c>
      <c r="AR41" s="329" t="s">
        <v>369</v>
      </c>
    </row>
    <row r="42" spans="1:44" ht="15" customHeight="1">
      <c r="A42" s="2220" t="s">
        <v>4510</v>
      </c>
      <c r="B42" s="2220"/>
      <c r="C42" s="2220"/>
      <c r="D42" s="2220"/>
      <c r="E42" s="2220"/>
      <c r="F42" s="2220"/>
      <c r="G42" s="2220"/>
      <c r="H42" s="2220"/>
      <c r="I42" s="2220"/>
      <c r="J42" s="2220"/>
      <c r="K42" s="2220"/>
      <c r="L42" s="2220"/>
      <c r="M42" s="2220"/>
      <c r="N42" s="2220"/>
      <c r="O42" s="2220"/>
      <c r="P42" s="2220"/>
      <c r="Q42" s="2220"/>
      <c r="R42" s="2220"/>
      <c r="S42" s="52"/>
      <c r="T42" s="1914"/>
      <c r="U42" s="2213"/>
      <c r="V42" s="2213"/>
      <c r="W42" s="2213"/>
      <c r="X42" s="2213"/>
      <c r="Y42" s="2213"/>
      <c r="Z42" s="2213"/>
      <c r="AA42" s="1915"/>
      <c r="AB42" s="43" t="s">
        <v>1938</v>
      </c>
      <c r="AC42" s="329" t="s">
        <v>369</v>
      </c>
      <c r="AD42" s="329" t="s">
        <v>369</v>
      </c>
      <c r="AE42" s="329">
        <f>ROUND(2027*Belarus*(1-D99),2)</f>
        <v>2027</v>
      </c>
      <c r="AF42" s="329">
        <f>ROUND(2052*Belarus*(1-D99),2)</f>
        <v>2052</v>
      </c>
      <c r="AG42" s="329">
        <f>ROUND(2077*Belarus*(1-D99),2)</f>
        <v>2077</v>
      </c>
      <c r="AH42" s="329">
        <f>ROUND(2155*Belarus*(1-D99),2)</f>
        <v>2155</v>
      </c>
      <c r="AI42" s="329" t="s">
        <v>369</v>
      </c>
      <c r="AJ42" s="329" t="s">
        <v>369</v>
      </c>
      <c r="AK42" s="329">
        <f>ROUND(2319*Belarus*(1-D99),2)</f>
        <v>2319</v>
      </c>
      <c r="AL42" s="329">
        <f>ROUND(2770*Belarus*(1-D99),2)</f>
        <v>2770</v>
      </c>
      <c r="AM42" s="329">
        <f>ROUND(2814*Belarus*(1-D99),2)</f>
        <v>2814</v>
      </c>
      <c r="AN42" s="329">
        <f>ROUND(3210*Belarus*(1-D99),2)</f>
        <v>3210</v>
      </c>
      <c r="AO42" s="329">
        <f>ROUND(3292*Belarus*(1-D99),2)</f>
        <v>3292</v>
      </c>
      <c r="AP42" s="329" t="s">
        <v>369</v>
      </c>
      <c r="AQ42" s="329">
        <f>ROUND(4329*Belarus*(1-D99),2)</f>
        <v>4329</v>
      </c>
      <c r="AR42" s="329" t="s">
        <v>369</v>
      </c>
    </row>
    <row r="43" spans="1:44" ht="12.75" customHeight="1">
      <c r="A43" s="2220"/>
      <c r="B43" s="2220"/>
      <c r="C43" s="2220"/>
      <c r="D43" s="2220"/>
      <c r="E43" s="2220"/>
      <c r="F43" s="2220"/>
      <c r="G43" s="2220"/>
      <c r="H43" s="2220"/>
      <c r="I43" s="2220"/>
      <c r="J43" s="2220"/>
      <c r="K43" s="2220"/>
      <c r="L43" s="2220"/>
      <c r="M43" s="2220"/>
      <c r="N43" s="2220"/>
      <c r="O43" s="2220"/>
      <c r="P43" s="2220"/>
      <c r="Q43" s="2220"/>
      <c r="R43" s="2220"/>
      <c r="S43" s="52"/>
      <c r="T43" s="1910" t="s">
        <v>1980</v>
      </c>
      <c r="U43" s="2212"/>
      <c r="V43" s="2212"/>
      <c r="W43" s="2212"/>
      <c r="X43" s="2212"/>
      <c r="Y43" s="2212"/>
      <c r="Z43" s="2212"/>
      <c r="AA43" s="1911"/>
      <c r="AB43" s="43" t="s">
        <v>1940</v>
      </c>
      <c r="AC43" s="329" t="s">
        <v>369</v>
      </c>
      <c r="AD43" s="329" t="s">
        <v>369</v>
      </c>
      <c r="AE43" s="329">
        <f>ROUND(1100*Belarus*(1-D99),2)</f>
        <v>1100</v>
      </c>
      <c r="AF43" s="329">
        <f>ROUND(1114*Belarus*(1-D99),2)</f>
        <v>1114</v>
      </c>
      <c r="AG43" s="329">
        <f>ROUND(1128*Belarus*(1-D99),2)</f>
        <v>1128</v>
      </c>
      <c r="AH43" s="329">
        <f>ROUND(1185*Belarus*(1-D99),2)</f>
        <v>1185</v>
      </c>
      <c r="AI43" s="329" t="s">
        <v>369</v>
      </c>
      <c r="AJ43" s="329" t="s">
        <v>369</v>
      </c>
      <c r="AK43" s="329">
        <f>ROUND(1268*Belarus*(1-D99),2)</f>
        <v>1268</v>
      </c>
      <c r="AL43" s="329">
        <f>ROUND(1463*Belarus*(1-D99),2)</f>
        <v>1463</v>
      </c>
      <c r="AM43" s="329">
        <f>ROUND(1485*Belarus*(1-D99),2)</f>
        <v>1485</v>
      </c>
      <c r="AN43" s="329">
        <f>ROUND(1713*Belarus*(1-D99),2)</f>
        <v>1713</v>
      </c>
      <c r="AO43" s="329">
        <f>ROUND(1750*Belarus*(1-D99),2)</f>
        <v>1750</v>
      </c>
      <c r="AP43" s="329" t="s">
        <v>369</v>
      </c>
      <c r="AQ43" s="329">
        <f>ROUND(2398*Belarus*(1-D99),2)</f>
        <v>2398</v>
      </c>
      <c r="AR43" s="329" t="s">
        <v>369</v>
      </c>
    </row>
    <row r="44" spans="1:44" ht="12.75" customHeight="1">
      <c r="A44" s="174" t="s">
        <v>1931</v>
      </c>
      <c r="B44" s="1566" t="s">
        <v>1932</v>
      </c>
      <c r="C44" s="1434" t="s">
        <v>1494</v>
      </c>
      <c r="D44" s="1435"/>
      <c r="E44" s="1435"/>
      <c r="F44" s="1435"/>
      <c r="G44" s="1435"/>
      <c r="H44" s="1435"/>
      <c r="I44" s="1435"/>
      <c r="J44" s="1435"/>
      <c r="K44" s="1435"/>
      <c r="L44" s="1435"/>
      <c r="M44" s="1435"/>
      <c r="N44" s="1435"/>
      <c r="O44" s="1435"/>
      <c r="P44" s="1435"/>
      <c r="Q44" s="1435"/>
      <c r="R44" s="1436"/>
      <c r="S44" s="52"/>
      <c r="T44" s="1914"/>
      <c r="U44" s="2213"/>
      <c r="V44" s="2213"/>
      <c r="W44" s="2213"/>
      <c r="X44" s="2213"/>
      <c r="Y44" s="2213"/>
      <c r="Z44" s="2213"/>
      <c r="AA44" s="1915"/>
      <c r="AB44" s="43" t="s">
        <v>1938</v>
      </c>
      <c r="AC44" s="329" t="s">
        <v>369</v>
      </c>
      <c r="AD44" s="329" t="s">
        <v>369</v>
      </c>
      <c r="AE44" s="329">
        <f>ROUND(1395*Belarus*(1-D99),2)</f>
        <v>1395</v>
      </c>
      <c r="AF44" s="329">
        <f>ROUND(1408*Belarus*(1-D99),2)</f>
        <v>1408</v>
      </c>
      <c r="AG44" s="329">
        <f>ROUND(1422*Belarus*(1-D99),2)</f>
        <v>1422</v>
      </c>
      <c r="AH44" s="329">
        <f>ROUND(1478*Belarus*(1-D99),2)</f>
        <v>1478</v>
      </c>
      <c r="AI44" s="329" t="s">
        <v>369</v>
      </c>
      <c r="AJ44" s="329" t="s">
        <v>369</v>
      </c>
      <c r="AK44" s="329">
        <f>ROUND(1577*Belarus*(1-D99),2)</f>
        <v>1577</v>
      </c>
      <c r="AL44" s="329">
        <f>ROUND(1830*Belarus*(1-D99),2)</f>
        <v>1830</v>
      </c>
      <c r="AM44" s="329">
        <f>ROUND(1853*Belarus*(1-D99),2)</f>
        <v>1853</v>
      </c>
      <c r="AN44" s="329">
        <f>ROUND(2125*Belarus*(1-D99),2)</f>
        <v>2125</v>
      </c>
      <c r="AO44" s="329">
        <f>ROUND(2162*Belarus*(1-D99),2)</f>
        <v>2162</v>
      </c>
      <c r="AP44" s="329" t="s">
        <v>369</v>
      </c>
      <c r="AQ44" s="329">
        <f>ROUND(2912*Belarus*(1-D99),2)</f>
        <v>2912</v>
      </c>
      <c r="AR44" s="329" t="s">
        <v>369</v>
      </c>
    </row>
    <row r="45" spans="1:44" ht="12.75" customHeight="1">
      <c r="A45" s="1566" t="s">
        <v>1934</v>
      </c>
      <c r="B45" s="1930"/>
      <c r="C45" s="2211">
        <v>80</v>
      </c>
      <c r="D45" s="2211">
        <v>100</v>
      </c>
      <c r="E45" s="2211">
        <v>110</v>
      </c>
      <c r="F45" s="2211">
        <v>115</v>
      </c>
      <c r="G45" s="2211">
        <v>120</v>
      </c>
      <c r="H45" s="2211">
        <v>125</v>
      </c>
      <c r="I45" s="2211">
        <v>130</v>
      </c>
      <c r="J45" s="2211">
        <v>135</v>
      </c>
      <c r="K45" s="2211">
        <v>140</v>
      </c>
      <c r="L45" s="2211">
        <v>150</v>
      </c>
      <c r="M45" s="2211">
        <v>160</v>
      </c>
      <c r="N45" s="2211">
        <v>180</v>
      </c>
      <c r="O45" s="2211">
        <v>200</v>
      </c>
      <c r="P45" s="2211">
        <v>220</v>
      </c>
      <c r="Q45" s="2211">
        <v>250</v>
      </c>
      <c r="R45" s="2211">
        <v>300</v>
      </c>
      <c r="S45" s="52"/>
      <c r="T45" s="1910" t="s">
        <v>1981</v>
      </c>
      <c r="U45" s="2212"/>
      <c r="V45" s="2212"/>
      <c r="W45" s="2212"/>
      <c r="X45" s="2212"/>
      <c r="Y45" s="2212"/>
      <c r="Z45" s="2212"/>
      <c r="AA45" s="1911"/>
      <c r="AB45" s="43" t="s">
        <v>1940</v>
      </c>
      <c r="AC45" s="329" t="s">
        <v>369</v>
      </c>
      <c r="AD45" s="329" t="s">
        <v>369</v>
      </c>
      <c r="AE45" s="329">
        <f>ROUND(745*Belarus*(1-D99),2)</f>
        <v>745</v>
      </c>
      <c r="AF45" s="329">
        <f>ROUND(753*Belarus*(1-D99),2)</f>
        <v>753</v>
      </c>
      <c r="AG45" s="329">
        <f>ROUND(760*Belarus*(1-D99),2)</f>
        <v>760</v>
      </c>
      <c r="AH45" s="329">
        <f>ROUND(808*Belarus*(1-D99),2)</f>
        <v>808</v>
      </c>
      <c r="AI45" s="329" t="s">
        <v>369</v>
      </c>
      <c r="AJ45" s="329" t="s">
        <v>369</v>
      </c>
      <c r="AK45" s="329">
        <f>ROUND(855*Belarus*(1-D99),2)</f>
        <v>855</v>
      </c>
      <c r="AL45" s="329">
        <f>ROUND(988*Belarus*(1-D99),2)</f>
        <v>988</v>
      </c>
      <c r="AM45" s="329">
        <f>ROUND(1002*Belarus*(1-D99),2)</f>
        <v>1002</v>
      </c>
      <c r="AN45" s="329">
        <f>ROUND(1160*Belarus*(1-D99),2)</f>
        <v>1160</v>
      </c>
      <c r="AO45" s="329">
        <f>ROUND(1181*Belarus*(1-D99),2)</f>
        <v>1181</v>
      </c>
      <c r="AP45" s="329" t="s">
        <v>369</v>
      </c>
      <c r="AQ45" s="329">
        <f>ROUND(1673*Belarus*(1-D99),2)</f>
        <v>1673</v>
      </c>
      <c r="AR45" s="329" t="s">
        <v>369</v>
      </c>
    </row>
    <row r="46" spans="1:44" ht="12.75" customHeight="1">
      <c r="A46" s="1567"/>
      <c r="B46" s="1567"/>
      <c r="C46" s="1445"/>
      <c r="D46" s="1445"/>
      <c r="E46" s="1445"/>
      <c r="F46" s="1445"/>
      <c r="G46" s="1445"/>
      <c r="H46" s="1445"/>
      <c r="I46" s="1445"/>
      <c r="J46" s="1445"/>
      <c r="K46" s="1445"/>
      <c r="L46" s="1445"/>
      <c r="M46" s="1445"/>
      <c r="N46" s="1445"/>
      <c r="O46" s="1445"/>
      <c r="P46" s="1445"/>
      <c r="Q46" s="1445"/>
      <c r="R46" s="1445"/>
      <c r="S46" s="52"/>
      <c r="T46" s="1914"/>
      <c r="U46" s="2213"/>
      <c r="V46" s="2213"/>
      <c r="W46" s="2213"/>
      <c r="X46" s="2213"/>
      <c r="Y46" s="2213"/>
      <c r="Z46" s="2213"/>
      <c r="AA46" s="1915"/>
      <c r="AB46" s="43" t="s">
        <v>1938</v>
      </c>
      <c r="AC46" s="329" t="s">
        <v>369</v>
      </c>
      <c r="AD46" s="329" t="s">
        <v>369</v>
      </c>
      <c r="AE46" s="329">
        <f>ROUND(908*Belarus*(1-D99),2)</f>
        <v>908</v>
      </c>
      <c r="AF46" s="329">
        <f>ROUND(916*Belarus*(1-D99),2)</f>
        <v>916</v>
      </c>
      <c r="AG46" s="329">
        <f>ROUND(924*Belarus*(1-D99),2)</f>
        <v>924</v>
      </c>
      <c r="AH46" s="329">
        <f>ROUND(971*Belarus*(1-D99),2)</f>
        <v>971</v>
      </c>
      <c r="AI46" s="329" t="s">
        <v>369</v>
      </c>
      <c r="AJ46" s="329" t="s">
        <v>369</v>
      </c>
      <c r="AK46" s="329">
        <f>ROUND(1026*Belarus*(1-D99),2)</f>
        <v>1026</v>
      </c>
      <c r="AL46" s="329">
        <f>ROUND(1192*Belarus*(1-D99),2)</f>
        <v>1192</v>
      </c>
      <c r="AM46" s="329">
        <f>ROUND(1205*Belarus*(1-D99),2)</f>
        <v>1205</v>
      </c>
      <c r="AN46" s="329">
        <f>ROUND(1389*Belarus*(1-D99),2)</f>
        <v>1389</v>
      </c>
      <c r="AO46" s="329">
        <f>ROUND(1410*Belarus*(1-D99),2)</f>
        <v>1410</v>
      </c>
      <c r="AP46" s="329" t="s">
        <v>369</v>
      </c>
      <c r="AQ46" s="329">
        <f>ROUND(1960*Belarus*(1-D99),2)</f>
        <v>1960</v>
      </c>
      <c r="AR46" s="329" t="s">
        <v>369</v>
      </c>
    </row>
    <row r="47" spans="1:44">
      <c r="A47" s="288" t="s">
        <v>1947</v>
      </c>
      <c r="B47" s="43" t="s">
        <v>1938</v>
      </c>
      <c r="C47" s="329" t="s">
        <v>369</v>
      </c>
      <c r="D47" s="329" t="s">
        <v>369</v>
      </c>
      <c r="E47" s="329">
        <f>ROUND(890*Belarus*(1-D99),2)</f>
        <v>890</v>
      </c>
      <c r="F47" s="329">
        <f>ROUND(903*Belarus*(1-D99),2)</f>
        <v>903</v>
      </c>
      <c r="G47" s="329">
        <f>ROUND(916*Belarus*(1-D99),2)</f>
        <v>916</v>
      </c>
      <c r="H47" s="329" t="s">
        <v>369</v>
      </c>
      <c r="I47" s="329" t="s">
        <v>369</v>
      </c>
      <c r="J47" s="329" t="s">
        <v>369</v>
      </c>
      <c r="K47" s="329" t="s">
        <v>369</v>
      </c>
      <c r="L47" s="329">
        <f>ROUND(1257*Belarus*(1-D99),2)</f>
        <v>1257</v>
      </c>
      <c r="M47" s="329" t="s">
        <v>369</v>
      </c>
      <c r="N47" s="329" t="s">
        <v>369</v>
      </c>
      <c r="O47" s="329">
        <f>ROUND(1759*Belarus*(1-D99),2)</f>
        <v>1759</v>
      </c>
      <c r="P47" s="329" t="s">
        <v>369</v>
      </c>
      <c r="Q47" s="329" t="s">
        <v>369</v>
      </c>
      <c r="R47" s="329" t="s">
        <v>369</v>
      </c>
      <c r="S47" s="52"/>
      <c r="T47" s="1418" t="s">
        <v>1984</v>
      </c>
      <c r="U47" s="1419"/>
      <c r="V47" s="1419"/>
      <c r="W47" s="1419"/>
      <c r="X47" s="1419"/>
      <c r="Y47" s="1419"/>
      <c r="Z47" s="1419"/>
      <c r="AA47" s="1420"/>
      <c r="AB47" s="1891" t="s">
        <v>1938</v>
      </c>
      <c r="AC47" s="1474" t="s">
        <v>369</v>
      </c>
      <c r="AD47" s="1474" t="s">
        <v>369</v>
      </c>
      <c r="AE47" s="1474">
        <f>ROUND(807*Belarus*(1-D99),2)</f>
        <v>807</v>
      </c>
      <c r="AF47" s="1474">
        <f>ROUND(819*Belarus*(1-D99),2)</f>
        <v>819</v>
      </c>
      <c r="AG47" s="1474">
        <f>ROUND(820*Belarus*(1-D99),2)</f>
        <v>820</v>
      </c>
      <c r="AH47" s="1474">
        <f>ROUND(832*Belarus*(1-D99),2)</f>
        <v>832</v>
      </c>
      <c r="AI47" s="1474" t="s">
        <v>369</v>
      </c>
      <c r="AJ47" s="1474" t="s">
        <v>369</v>
      </c>
      <c r="AK47" s="1474">
        <f>ROUND(892*Belarus*(1-D99),2)</f>
        <v>892</v>
      </c>
      <c r="AL47" s="1474">
        <f>ROUND(1015*Belarus*(1-D99),2)</f>
        <v>1015</v>
      </c>
      <c r="AM47" s="1474">
        <f>ROUND(1040*Belarus*(1-D99),2)</f>
        <v>1040</v>
      </c>
      <c r="AN47" s="1474">
        <f>ROUND(1144*Belarus*(1-D99),2)</f>
        <v>1144</v>
      </c>
      <c r="AO47" s="1474">
        <f>ROUND(1196*Belarus*(1-D99),2)</f>
        <v>1196</v>
      </c>
      <c r="AP47" s="1474" t="s">
        <v>369</v>
      </c>
      <c r="AQ47" s="1474">
        <f>ROUND(1563*Belarus*(1-D99),2)</f>
        <v>1563</v>
      </c>
      <c r="AR47" s="1474" t="s">
        <v>369</v>
      </c>
    </row>
    <row r="48" spans="1:44">
      <c r="A48" s="288" t="s">
        <v>1948</v>
      </c>
      <c r="B48" s="43" t="s">
        <v>1938</v>
      </c>
      <c r="C48" s="329" t="s">
        <v>369</v>
      </c>
      <c r="D48" s="329">
        <f>ROUND(2015*Belarus*(1-D99),2)</f>
        <v>2015</v>
      </c>
      <c r="E48" s="329">
        <f>D48</f>
        <v>2015</v>
      </c>
      <c r="F48" s="329">
        <f>D48</f>
        <v>2015</v>
      </c>
      <c r="G48" s="329">
        <f>D48</f>
        <v>2015</v>
      </c>
      <c r="H48" s="329" t="s">
        <v>369</v>
      </c>
      <c r="I48" s="329">
        <f>D48</f>
        <v>2015</v>
      </c>
      <c r="J48" s="329" t="s">
        <v>369</v>
      </c>
      <c r="K48" s="329" t="s">
        <v>369</v>
      </c>
      <c r="L48" s="329" t="s">
        <v>369</v>
      </c>
      <c r="M48" s="329" t="s">
        <v>369</v>
      </c>
      <c r="N48" s="329" t="s">
        <v>369</v>
      </c>
      <c r="O48" s="329" t="s">
        <v>369</v>
      </c>
      <c r="P48" s="329" t="s">
        <v>369</v>
      </c>
      <c r="Q48" s="329" t="s">
        <v>369</v>
      </c>
      <c r="R48" s="329" t="s">
        <v>369</v>
      </c>
      <c r="S48" s="52"/>
      <c r="T48" s="1424"/>
      <c r="U48" s="1425"/>
      <c r="V48" s="1425"/>
      <c r="W48" s="1425"/>
      <c r="X48" s="1425"/>
      <c r="Y48" s="1425"/>
      <c r="Z48" s="1425"/>
      <c r="AA48" s="1426"/>
      <c r="AB48" s="1893"/>
      <c r="AC48" s="1476"/>
      <c r="AD48" s="1476"/>
      <c r="AE48" s="1476"/>
      <c r="AF48" s="1476"/>
      <c r="AG48" s="1476"/>
      <c r="AH48" s="1476"/>
      <c r="AI48" s="1476"/>
      <c r="AJ48" s="1476"/>
      <c r="AK48" s="1476"/>
      <c r="AL48" s="1476"/>
      <c r="AM48" s="1476"/>
      <c r="AN48" s="1476"/>
      <c r="AO48" s="1476"/>
      <c r="AP48" s="1476"/>
      <c r="AQ48" s="1476"/>
      <c r="AR48" s="1476"/>
    </row>
    <row r="49" spans="1:44">
      <c r="A49" s="279" t="s">
        <v>1950</v>
      </c>
      <c r="B49" s="43" t="s">
        <v>1938</v>
      </c>
      <c r="C49" s="329">
        <f>ROUND(543*Belarus*(1-D99),2)</f>
        <v>543</v>
      </c>
      <c r="D49" s="329">
        <f>ROUND(692*Belarus*(1-D99),2)</f>
        <v>692</v>
      </c>
      <c r="E49" s="329">
        <f>ROUND(692*Belarus*(1-D99),2)</f>
        <v>692</v>
      </c>
      <c r="F49" s="329">
        <f>ROUND(718*Belarus*(1-D99),2)</f>
        <v>718</v>
      </c>
      <c r="G49" s="329">
        <f>ROUND(743*Belarus*(1-D99),2)</f>
        <v>743</v>
      </c>
      <c r="H49" s="329" t="s">
        <v>369</v>
      </c>
      <c r="I49" s="329">
        <f>ROUND(797*Belarus*(1-D99),2)</f>
        <v>797</v>
      </c>
      <c r="J49" s="329">
        <f>ROUND(823*Belarus*(1-D99),2)</f>
        <v>823</v>
      </c>
      <c r="K49" s="329">
        <f>ROUND(851*Belarus*(1-D99),2)</f>
        <v>851</v>
      </c>
      <c r="L49" s="329">
        <f>ROUND(906*Belarus*(1-D99),2)</f>
        <v>906</v>
      </c>
      <c r="M49" s="329">
        <f>ROUND(964*Belarus*(1-D99),2)</f>
        <v>964</v>
      </c>
      <c r="N49" s="329">
        <f>ROUND(1081*Belarus*(1-D99),2)</f>
        <v>1081</v>
      </c>
      <c r="O49" s="329">
        <f>ROUND(1204*Belarus*(1-D99),2)</f>
        <v>1204</v>
      </c>
      <c r="P49" s="329">
        <f>ROUND(1333*Belarus*(1-D99),2)</f>
        <v>1333</v>
      </c>
      <c r="Q49" s="329">
        <f>ROUND(1535*Belarus*(1-D99),2)</f>
        <v>1535</v>
      </c>
      <c r="R49" s="329">
        <f>ROUND(1896*Belarus*(1-D99),2)</f>
        <v>1896</v>
      </c>
      <c r="S49" s="52"/>
      <c r="T49" s="1418" t="s">
        <v>1986</v>
      </c>
      <c r="U49" s="1419"/>
      <c r="V49" s="1419"/>
      <c r="W49" s="1419"/>
      <c r="X49" s="1419"/>
      <c r="Y49" s="1419"/>
      <c r="Z49" s="1419"/>
      <c r="AA49" s="1420"/>
      <c r="AB49" s="1891" t="s">
        <v>1938</v>
      </c>
      <c r="AC49" s="1474" t="s">
        <v>369</v>
      </c>
      <c r="AD49" s="1474" t="s">
        <v>369</v>
      </c>
      <c r="AE49" s="1474">
        <f>ROUND(807*Belarus*(1-D99),2)</f>
        <v>807</v>
      </c>
      <c r="AF49" s="1474">
        <f>ROUND(818*Belarus*(1-D99),2)</f>
        <v>818</v>
      </c>
      <c r="AG49" s="1474">
        <f>ROUND(820*Belarus*(1-D99),2)</f>
        <v>820</v>
      </c>
      <c r="AH49" s="1474">
        <f>ROUND(831*Belarus*(1-D99),2)</f>
        <v>831</v>
      </c>
      <c r="AI49" s="1474" t="s">
        <v>369</v>
      </c>
      <c r="AJ49" s="1474" t="s">
        <v>369</v>
      </c>
      <c r="AK49" s="1474">
        <f>ROUND(891*Belarus*(1-D99),2)</f>
        <v>891</v>
      </c>
      <c r="AL49" s="1474">
        <f>ROUND(1014*Belarus*(1-D99),2)</f>
        <v>1014</v>
      </c>
      <c r="AM49" s="1474">
        <f>ROUND(1040*Belarus*(1-D99),2)</f>
        <v>1040</v>
      </c>
      <c r="AN49" s="1474">
        <f>ROUND(1144*Belarus*(1-D99),2)</f>
        <v>1144</v>
      </c>
      <c r="AO49" s="1474">
        <f>ROUND(1195*Belarus*(1-D99),2)</f>
        <v>1195</v>
      </c>
      <c r="AP49" s="1474" t="s">
        <v>369</v>
      </c>
      <c r="AQ49" s="1474">
        <f>ROUND(1563*Belarus*(1-D99),2)</f>
        <v>1563</v>
      </c>
      <c r="AR49" s="1474" t="s">
        <v>369</v>
      </c>
    </row>
    <row r="50" spans="1:44">
      <c r="A50" s="288" t="s">
        <v>1956</v>
      </c>
      <c r="B50" s="43" t="s">
        <v>1938</v>
      </c>
      <c r="C50" s="329">
        <f>ROUND(177*Belarus*(1-D99),2)</f>
        <v>177</v>
      </c>
      <c r="D50" s="329">
        <f>ROUND(177*Belarus*(1-D99),2)</f>
        <v>177</v>
      </c>
      <c r="E50" s="329">
        <f>ROUND(177*Belarus*(1-D99),2)</f>
        <v>177</v>
      </c>
      <c r="F50" s="329">
        <f>ROUND(183*Belarus*(1-D99),2)</f>
        <v>183</v>
      </c>
      <c r="G50" s="329">
        <f>ROUND(188*Belarus*(1-D99),2)</f>
        <v>188</v>
      </c>
      <c r="H50" s="329">
        <f>ROUND(200*Belarus*(1-D99),2)</f>
        <v>200</v>
      </c>
      <c r="I50" s="329">
        <f>ROUND(200*Belarus*(1-D99),2)</f>
        <v>200</v>
      </c>
      <c r="J50" s="329">
        <f>ROUND(206*Belarus*(1-D99),2)</f>
        <v>206</v>
      </c>
      <c r="K50" s="329">
        <f>ROUND(213*Belarus*(1-D99),2)</f>
        <v>213</v>
      </c>
      <c r="L50" s="329">
        <f>ROUND(225*Belarus*(1-D99),2)</f>
        <v>225</v>
      </c>
      <c r="M50" s="329">
        <f>ROUND(239*Belarus*(1-D99),2)</f>
        <v>239</v>
      </c>
      <c r="N50" s="329">
        <f>ROUND(267*Belarus*(1-D99),2)</f>
        <v>267</v>
      </c>
      <c r="O50" s="329">
        <f>ROUND(296*Belarus*(1-D99),2)</f>
        <v>296</v>
      </c>
      <c r="P50" s="329">
        <f>ROUND(328*Belarus*(1-D99),2)</f>
        <v>328</v>
      </c>
      <c r="Q50" s="329">
        <f>ROUND(379*Belarus*(1-D99),2)</f>
        <v>379</v>
      </c>
      <c r="R50" s="329">
        <f>ROUND(526*Belarus*(1-D99),2)</f>
        <v>526</v>
      </c>
      <c r="S50" s="52"/>
      <c r="T50" s="1424"/>
      <c r="U50" s="1425"/>
      <c r="V50" s="1425"/>
      <c r="W50" s="1425"/>
      <c r="X50" s="1425"/>
      <c r="Y50" s="1425"/>
      <c r="Z50" s="1425"/>
      <c r="AA50" s="1426"/>
      <c r="AB50" s="1893"/>
      <c r="AC50" s="1476"/>
      <c r="AD50" s="1476"/>
      <c r="AE50" s="1476"/>
      <c r="AF50" s="1476"/>
      <c r="AG50" s="1476"/>
      <c r="AH50" s="1476"/>
      <c r="AI50" s="1476"/>
      <c r="AJ50" s="1476"/>
      <c r="AK50" s="1476"/>
      <c r="AL50" s="1476"/>
      <c r="AM50" s="1476"/>
      <c r="AN50" s="1476"/>
      <c r="AO50" s="1476"/>
      <c r="AP50" s="1476"/>
      <c r="AQ50" s="1476"/>
      <c r="AR50" s="1476"/>
    </row>
    <row r="51" spans="1:44">
      <c r="A51" s="1351" t="s">
        <v>1955</v>
      </c>
      <c r="B51" s="1281" t="s">
        <v>1938</v>
      </c>
      <c r="C51" s="2221">
        <f>ROUND(177*Belarus*(1-D99),2)</f>
        <v>177</v>
      </c>
      <c r="D51" s="2221">
        <f>ROUND(177*Belarus*(1-D99),2)</f>
        <v>177</v>
      </c>
      <c r="E51" s="2221">
        <f>ROUND(177*Belarus*(1-D99),2)</f>
        <v>177</v>
      </c>
      <c r="F51" s="2221">
        <f>ROUND(183*Belarus*(1-D99),2)</f>
        <v>183</v>
      </c>
      <c r="G51" s="2221">
        <f>ROUND(188*Belarus*(1-D99),2)</f>
        <v>188</v>
      </c>
      <c r="H51" s="2221">
        <f>ROUND(200*Belarus*(1-D99),2)</f>
        <v>200</v>
      </c>
      <c r="I51" s="2221">
        <f>ROUND(200*Belarus*(1-D99),2)</f>
        <v>200</v>
      </c>
      <c r="J51" s="2221">
        <f>ROUND(206*Belarus*(1-D99),2)</f>
        <v>206</v>
      </c>
      <c r="K51" s="2221">
        <f>ROUND(213*Belarus*(1-D99),2)</f>
        <v>213</v>
      </c>
      <c r="L51" s="2221">
        <f>ROUND(225*Belarus*(1-D99),2)</f>
        <v>225</v>
      </c>
      <c r="M51" s="2221">
        <f>ROUND(239*Belarus*(1-D99),2)</f>
        <v>239</v>
      </c>
      <c r="N51" s="2221">
        <f>ROUND(267*Belarus*(1-D99),2)</f>
        <v>267</v>
      </c>
      <c r="O51" s="2221">
        <f>ROUND(296*Belarus*(1-D99),2)</f>
        <v>296</v>
      </c>
      <c r="P51" s="2221">
        <f>ROUND(328*Belarus*(1-D99),2)</f>
        <v>328</v>
      </c>
      <c r="Q51" s="2221">
        <f>ROUND(379*Belarus*(1-D99),2)</f>
        <v>379</v>
      </c>
      <c r="R51" s="2221">
        <f>ROUND(526*Belarus*(1-D99),2)</f>
        <v>526</v>
      </c>
      <c r="S51" s="52"/>
      <c r="T51" s="2214" t="s">
        <v>6543</v>
      </c>
      <c r="U51" s="1615"/>
      <c r="V51" s="1615"/>
      <c r="W51" s="1615"/>
      <c r="X51" s="1615"/>
      <c r="Y51" s="1615"/>
      <c r="Z51" s="1615"/>
      <c r="AA51" s="2215"/>
      <c r="AB51" s="43" t="s">
        <v>1940</v>
      </c>
      <c r="AC51" s="329" t="str">
        <f>AC18</f>
        <v>-</v>
      </c>
      <c r="AD51" s="329">
        <f>AD18</f>
        <v>1267</v>
      </c>
      <c r="AE51" s="329">
        <f t="shared" ref="AD51:AR53" si="2">AE18</f>
        <v>1289</v>
      </c>
      <c r="AF51" s="329">
        <f t="shared" si="2"/>
        <v>1299</v>
      </c>
      <c r="AG51" s="329">
        <f t="shared" si="2"/>
        <v>1309</v>
      </c>
      <c r="AH51" s="329">
        <f t="shared" si="2"/>
        <v>1331</v>
      </c>
      <c r="AI51" s="329" t="str">
        <f t="shared" si="2"/>
        <v>-</v>
      </c>
      <c r="AJ51" s="329" t="str">
        <f t="shared" si="2"/>
        <v>-</v>
      </c>
      <c r="AK51" s="329">
        <f t="shared" si="2"/>
        <v>1454</v>
      </c>
      <c r="AL51" s="329">
        <f t="shared" si="2"/>
        <v>1878</v>
      </c>
      <c r="AM51" s="329">
        <f t="shared" si="2"/>
        <v>1934</v>
      </c>
      <c r="AN51" s="329">
        <f t="shared" si="2"/>
        <v>2176</v>
      </c>
      <c r="AO51" s="329">
        <f t="shared" si="2"/>
        <v>2287</v>
      </c>
      <c r="AP51" s="329" t="str">
        <f t="shared" si="2"/>
        <v>-</v>
      </c>
      <c r="AQ51" s="329">
        <f t="shared" si="2"/>
        <v>3050</v>
      </c>
      <c r="AR51" s="329">
        <f t="shared" si="2"/>
        <v>3710</v>
      </c>
    </row>
    <row r="52" spans="1:44">
      <c r="A52" s="1351"/>
      <c r="B52" s="1281"/>
      <c r="C52" s="2221"/>
      <c r="D52" s="2221"/>
      <c r="E52" s="2221"/>
      <c r="F52" s="2221"/>
      <c r="G52" s="2221"/>
      <c r="H52" s="2221"/>
      <c r="I52" s="2221"/>
      <c r="J52" s="2221"/>
      <c r="K52" s="2221"/>
      <c r="L52" s="2221"/>
      <c r="M52" s="2221"/>
      <c r="N52" s="2221"/>
      <c r="O52" s="2221"/>
      <c r="P52" s="2221"/>
      <c r="Q52" s="2221"/>
      <c r="R52" s="2221"/>
      <c r="S52" s="52"/>
      <c r="T52" s="2216"/>
      <c r="U52" s="2217"/>
      <c r="V52" s="2217"/>
      <c r="W52" s="2217"/>
      <c r="X52" s="2217"/>
      <c r="Y52" s="2217"/>
      <c r="Z52" s="2217"/>
      <c r="AA52" s="2218"/>
      <c r="AB52" s="43" t="s">
        <v>1938</v>
      </c>
      <c r="AC52" s="329">
        <f>AC19</f>
        <v>1132</v>
      </c>
      <c r="AD52" s="329">
        <f t="shared" si="2"/>
        <v>1279</v>
      </c>
      <c r="AE52" s="329">
        <f t="shared" si="2"/>
        <v>1301</v>
      </c>
      <c r="AF52" s="329">
        <f t="shared" si="2"/>
        <v>1312</v>
      </c>
      <c r="AG52" s="329">
        <f t="shared" si="2"/>
        <v>1321</v>
      </c>
      <c r="AH52" s="329">
        <f t="shared" si="2"/>
        <v>1343</v>
      </c>
      <c r="AI52" s="329">
        <f t="shared" si="2"/>
        <v>1446</v>
      </c>
      <c r="AJ52" s="329">
        <f t="shared" si="2"/>
        <v>1446</v>
      </c>
      <c r="AK52" s="329">
        <f t="shared" si="2"/>
        <v>1467</v>
      </c>
      <c r="AL52" s="329">
        <f t="shared" si="2"/>
        <v>1893</v>
      </c>
      <c r="AM52" s="329">
        <f t="shared" si="2"/>
        <v>1950</v>
      </c>
      <c r="AN52" s="329">
        <f t="shared" si="2"/>
        <v>2193</v>
      </c>
      <c r="AO52" s="329">
        <f t="shared" si="2"/>
        <v>2305</v>
      </c>
      <c r="AP52" s="329">
        <f t="shared" si="2"/>
        <v>2489</v>
      </c>
      <c r="AQ52" s="329">
        <f t="shared" si="2"/>
        <v>3072</v>
      </c>
      <c r="AR52" s="329">
        <f t="shared" si="2"/>
        <v>3735</v>
      </c>
    </row>
    <row r="53" spans="1:44">
      <c r="A53" s="288" t="s">
        <v>1959</v>
      </c>
      <c r="B53" s="43" t="s">
        <v>1938</v>
      </c>
      <c r="C53" s="329">
        <f>ROUND(287*Belarus*(1-D99),2)</f>
        <v>287</v>
      </c>
      <c r="D53" s="329">
        <f>ROUND(287*Belarus*(1-D99),2)</f>
        <v>287</v>
      </c>
      <c r="E53" s="329">
        <f>ROUND(287*Belarus*(1-D99),2)</f>
        <v>287</v>
      </c>
      <c r="F53" s="329">
        <f>ROUND(293*Belarus*(1-D99),2)</f>
        <v>293</v>
      </c>
      <c r="G53" s="329">
        <f>ROUND(299*Belarus*(1-D99),2)</f>
        <v>299</v>
      </c>
      <c r="H53" s="329">
        <f>ROUND(311*Belarus*(1-D99),2)</f>
        <v>311</v>
      </c>
      <c r="I53" s="329">
        <f>ROUND(311*Belarus*(1-D99),2)</f>
        <v>311</v>
      </c>
      <c r="J53" s="329">
        <f>ROUND(317*Belarus*(1-D99),2)</f>
        <v>317</v>
      </c>
      <c r="K53" s="329">
        <f>ROUND(323*Belarus*(1-D99),2)</f>
        <v>323</v>
      </c>
      <c r="L53" s="329">
        <f>ROUND(336*Belarus*(1-D99),2)</f>
        <v>336</v>
      </c>
      <c r="M53" s="329">
        <f>ROUND(349*Belarus*(1-D99),2)</f>
        <v>349</v>
      </c>
      <c r="N53" s="329">
        <f>ROUND(377*Belarus*(1-D99),2)</f>
        <v>377</v>
      </c>
      <c r="O53" s="329">
        <f>ROUND(407*Belarus*(1-D99),2)</f>
        <v>407</v>
      </c>
      <c r="P53" s="329">
        <f>ROUND(438*Belarus*(1-D99),2)</f>
        <v>438</v>
      </c>
      <c r="Q53" s="329">
        <f>ROUND(489*Belarus*(1-D99),2)</f>
        <v>489</v>
      </c>
      <c r="R53" s="329">
        <f>ROUND(636*Belarus*(1-D99),2)</f>
        <v>636</v>
      </c>
      <c r="S53" s="52"/>
      <c r="T53" s="1418" t="s">
        <v>1955</v>
      </c>
      <c r="U53" s="1419"/>
      <c r="V53" s="1419"/>
      <c r="W53" s="1419"/>
      <c r="X53" s="1419"/>
      <c r="Y53" s="1419"/>
      <c r="Z53" s="1419"/>
      <c r="AA53" s="1420"/>
      <c r="AB53" s="1891" t="s">
        <v>1938</v>
      </c>
      <c r="AC53" s="1474">
        <f>AC20</f>
        <v>239</v>
      </c>
      <c r="AD53" s="1474">
        <f>AD20</f>
        <v>296</v>
      </c>
      <c r="AE53" s="1474">
        <f t="shared" si="2"/>
        <v>296</v>
      </c>
      <c r="AF53" s="1474">
        <f t="shared" si="2"/>
        <v>296</v>
      </c>
      <c r="AG53" s="1474">
        <f t="shared" si="2"/>
        <v>296</v>
      </c>
      <c r="AH53" s="1474">
        <f t="shared" si="2"/>
        <v>296</v>
      </c>
      <c r="AI53" s="1474">
        <f t="shared" si="2"/>
        <v>296</v>
      </c>
      <c r="AJ53" s="1474">
        <f t="shared" si="2"/>
        <v>328</v>
      </c>
      <c r="AK53" s="1474">
        <f t="shared" si="2"/>
        <v>328</v>
      </c>
      <c r="AL53" s="1474">
        <f t="shared" si="2"/>
        <v>379</v>
      </c>
      <c r="AM53" s="1474">
        <f t="shared" si="2"/>
        <v>379</v>
      </c>
      <c r="AN53" s="1474">
        <f t="shared" si="2"/>
        <v>433</v>
      </c>
      <c r="AO53" s="1474">
        <f t="shared" si="2"/>
        <v>433</v>
      </c>
      <c r="AP53" s="1474">
        <f t="shared" si="2"/>
        <v>526</v>
      </c>
      <c r="AQ53" s="1474">
        <f t="shared" si="2"/>
        <v>663</v>
      </c>
      <c r="AR53" s="1474">
        <f t="shared" si="2"/>
        <v>764</v>
      </c>
    </row>
    <row r="54" spans="1:44" ht="15" customHeight="1">
      <c r="A54" s="288" t="s">
        <v>1966</v>
      </c>
      <c r="B54" s="43" t="s">
        <v>1938</v>
      </c>
      <c r="C54" s="329" t="s">
        <v>369</v>
      </c>
      <c r="D54" s="329" t="s">
        <v>369</v>
      </c>
      <c r="E54" s="329">
        <f>ROUND(2360*Belarus*(1-D99),2)</f>
        <v>2360</v>
      </c>
      <c r="F54" s="329">
        <f>ROUND(2393*Belarus*(1-D99),2)</f>
        <v>2393</v>
      </c>
      <c r="G54" s="329">
        <f>ROUND(2425*Belarus*(1-D99),2)</f>
        <v>2425</v>
      </c>
      <c r="H54" s="329" t="s">
        <v>369</v>
      </c>
      <c r="I54" s="329">
        <f>ROUND(2490*Belarus*(1-D99),2)</f>
        <v>2490</v>
      </c>
      <c r="J54" s="329" t="s">
        <v>369</v>
      </c>
      <c r="K54" s="329" t="s">
        <v>369</v>
      </c>
      <c r="L54" s="329">
        <f>ROUND(2865*Belarus*(1-D99),2)</f>
        <v>2865</v>
      </c>
      <c r="M54" s="329" t="s">
        <v>369</v>
      </c>
      <c r="N54" s="329" t="s">
        <v>369</v>
      </c>
      <c r="O54" s="329">
        <f>ROUND(3435*Belarus*(1-D99),2)</f>
        <v>3435</v>
      </c>
      <c r="P54" s="329" t="s">
        <v>369</v>
      </c>
      <c r="Q54" s="329" t="s">
        <v>369</v>
      </c>
      <c r="R54" s="329" t="s">
        <v>369</v>
      </c>
      <c r="S54" s="52"/>
      <c r="T54" s="1424"/>
      <c r="U54" s="1425"/>
      <c r="V54" s="1425"/>
      <c r="W54" s="1425"/>
      <c r="X54" s="1425"/>
      <c r="Y54" s="1425"/>
      <c r="Z54" s="1425"/>
      <c r="AA54" s="1426"/>
      <c r="AB54" s="1893"/>
      <c r="AC54" s="1476"/>
      <c r="AD54" s="1476"/>
      <c r="AE54" s="1476"/>
      <c r="AF54" s="1476"/>
      <c r="AG54" s="1476"/>
      <c r="AH54" s="1476"/>
      <c r="AI54" s="1476"/>
      <c r="AJ54" s="1476"/>
      <c r="AK54" s="1476"/>
      <c r="AL54" s="1476"/>
      <c r="AM54" s="1476"/>
      <c r="AN54" s="1476"/>
      <c r="AO54" s="1476"/>
      <c r="AP54" s="1476"/>
      <c r="AQ54" s="1476"/>
      <c r="AR54" s="1476"/>
    </row>
    <row r="55" spans="1:44">
      <c r="A55" s="288" t="s">
        <v>1967</v>
      </c>
      <c r="B55" s="43" t="s">
        <v>1938</v>
      </c>
      <c r="C55" s="329">
        <f>ROUND(308*Belarus*(1-D99),2)</f>
        <v>308</v>
      </c>
      <c r="D55" s="329">
        <f>ROUND(308*Belarus*(1-D99),2)</f>
        <v>308</v>
      </c>
      <c r="E55" s="329">
        <f>ROUND(308*Belarus*(1-D99),2)</f>
        <v>308</v>
      </c>
      <c r="F55" s="329">
        <f>ROUND(317*Belarus*(1-D99),2)</f>
        <v>317</v>
      </c>
      <c r="G55" s="329">
        <f>ROUND(326*Belarus*(1-D99),2)</f>
        <v>326</v>
      </c>
      <c r="H55" s="329">
        <f>ROUND(346*Belarus*(1-D99),2)</f>
        <v>346</v>
      </c>
      <c r="I55" s="329">
        <f>ROUND(346*Belarus*(1-D99),2)</f>
        <v>346</v>
      </c>
      <c r="J55" s="329">
        <f>ROUND(356*Belarus*(1-D99),2)</f>
        <v>356</v>
      </c>
      <c r="K55" s="329">
        <f>ROUND(366*Belarus*(1-D99),2)</f>
        <v>366</v>
      </c>
      <c r="L55" s="329">
        <f>ROUND(386*Belarus*(1-D99),2)</f>
        <v>386</v>
      </c>
      <c r="M55" s="329">
        <f>ROUND(406*Belarus*(1-D99),2)</f>
        <v>406</v>
      </c>
      <c r="N55" s="329">
        <f>ROUND(506*Belarus*(1-D99),2)</f>
        <v>506</v>
      </c>
      <c r="O55" s="329">
        <f>ROUND(556*Belarus*(1-D99),2)</f>
        <v>556</v>
      </c>
      <c r="P55" s="329">
        <f>ROUND(635*Belarus*(1-D99),2)</f>
        <v>635</v>
      </c>
      <c r="Q55" s="329">
        <f>ROUND(767*Belarus*(1-D99),2)</f>
        <v>767</v>
      </c>
      <c r="R55" s="329">
        <f>ROUND(926*Belarus*(1-D99),2)</f>
        <v>926</v>
      </c>
      <c r="S55" s="52"/>
      <c r="T55" s="1409" t="s">
        <v>1988</v>
      </c>
      <c r="U55" s="1410"/>
      <c r="V55" s="1410"/>
      <c r="W55" s="1410"/>
      <c r="X55" s="1410"/>
      <c r="Y55" s="1410"/>
      <c r="Z55" s="1410"/>
      <c r="AA55" s="1411"/>
      <c r="AB55" s="43" t="s">
        <v>1938</v>
      </c>
      <c r="AC55" s="329">
        <f t="shared" ref="AC55:AR56" si="3">AC21</f>
        <v>276</v>
      </c>
      <c r="AD55" s="329">
        <f t="shared" si="3"/>
        <v>333</v>
      </c>
      <c r="AE55" s="329">
        <f t="shared" si="3"/>
        <v>333</v>
      </c>
      <c r="AF55" s="329">
        <f t="shared" si="3"/>
        <v>333</v>
      </c>
      <c r="AG55" s="329">
        <f t="shared" si="3"/>
        <v>333</v>
      </c>
      <c r="AH55" s="329">
        <f t="shared" si="3"/>
        <v>333</v>
      </c>
      <c r="AI55" s="329">
        <f t="shared" si="3"/>
        <v>333</v>
      </c>
      <c r="AJ55" s="329">
        <f t="shared" si="3"/>
        <v>365</v>
      </c>
      <c r="AK55" s="329">
        <f t="shared" si="3"/>
        <v>365</v>
      </c>
      <c r="AL55" s="329">
        <f t="shared" si="3"/>
        <v>415</v>
      </c>
      <c r="AM55" s="329">
        <f t="shared" si="3"/>
        <v>415</v>
      </c>
      <c r="AN55" s="329">
        <f t="shared" si="3"/>
        <v>470</v>
      </c>
      <c r="AO55" s="329">
        <f t="shared" si="3"/>
        <v>470</v>
      </c>
      <c r="AP55" s="329">
        <f t="shared" si="3"/>
        <v>562</v>
      </c>
      <c r="AQ55" s="329">
        <f t="shared" si="3"/>
        <v>700</v>
      </c>
      <c r="AR55" s="329">
        <f t="shared" si="3"/>
        <v>801</v>
      </c>
    </row>
    <row r="56" spans="1:44" ht="25.5" customHeight="1">
      <c r="A56" s="288" t="s">
        <v>1969</v>
      </c>
      <c r="B56" s="43" t="s">
        <v>1938</v>
      </c>
      <c r="C56" s="329">
        <f>ROUND(655*Belarus*(1-D99),2)</f>
        <v>655</v>
      </c>
      <c r="D56" s="329">
        <f>ROUND(655*Belarus*(1-D99),2)</f>
        <v>655</v>
      </c>
      <c r="E56" s="329">
        <f>ROUND(655*Belarus*(1-D99),2)</f>
        <v>655</v>
      </c>
      <c r="F56" s="329">
        <f>ROUND(669*Belarus*(1-D99),2)</f>
        <v>669</v>
      </c>
      <c r="G56" s="329">
        <f>ROUND(684*Belarus*(1-D99),2)</f>
        <v>684</v>
      </c>
      <c r="H56" s="329">
        <f>ROUND(712*Belarus*(1-D99),2)</f>
        <v>712</v>
      </c>
      <c r="I56" s="329">
        <f>ROUND(712*Belarus*(1-D99),2)</f>
        <v>712</v>
      </c>
      <c r="J56" s="329">
        <f>ROUND(726*Belarus*(1-D99),2)</f>
        <v>726</v>
      </c>
      <c r="K56" s="329">
        <f>ROUND(741*Belarus*(1-D99),2)</f>
        <v>741</v>
      </c>
      <c r="L56" s="329">
        <f>ROUND(771*Belarus*(1-D99),2)</f>
        <v>771</v>
      </c>
      <c r="M56" s="329">
        <f>ROUND(801*Belarus*(1-D99),2)</f>
        <v>801</v>
      </c>
      <c r="N56" s="329">
        <f>ROUND(1045*Belarus*(1-D99),2)</f>
        <v>1045</v>
      </c>
      <c r="O56" s="329">
        <f>ROUND(1121*Belarus*(1-D99),2)</f>
        <v>1121</v>
      </c>
      <c r="P56" s="329">
        <f>ROUND(1282*Belarus*(1-D99),2)</f>
        <v>1282</v>
      </c>
      <c r="Q56" s="329">
        <f>ROUND(1544*Belarus*(1-D99),2)</f>
        <v>1544</v>
      </c>
      <c r="R56" s="329">
        <f>ROUND(1782*Belarus*(1-D99),2)</f>
        <v>1782</v>
      </c>
      <c r="S56" s="52"/>
      <c r="T56" s="1409" t="s">
        <v>1958</v>
      </c>
      <c r="U56" s="1410"/>
      <c r="V56" s="1410"/>
      <c r="W56" s="1410"/>
      <c r="X56" s="1410"/>
      <c r="Y56" s="1410"/>
      <c r="Z56" s="1410"/>
      <c r="AA56" s="1411"/>
      <c r="AB56" s="43" t="s">
        <v>1938</v>
      </c>
      <c r="AC56" s="329">
        <f t="shared" si="3"/>
        <v>349</v>
      </c>
      <c r="AD56" s="329">
        <f t="shared" si="3"/>
        <v>407</v>
      </c>
      <c r="AE56" s="329">
        <f t="shared" si="3"/>
        <v>407</v>
      </c>
      <c r="AF56" s="329">
        <f t="shared" si="3"/>
        <v>407</v>
      </c>
      <c r="AG56" s="329">
        <f t="shared" si="3"/>
        <v>407</v>
      </c>
      <c r="AH56" s="329">
        <f t="shared" si="3"/>
        <v>407</v>
      </c>
      <c r="AI56" s="329">
        <f t="shared" si="3"/>
        <v>407</v>
      </c>
      <c r="AJ56" s="329">
        <f t="shared" si="3"/>
        <v>438</v>
      </c>
      <c r="AK56" s="329">
        <f t="shared" si="3"/>
        <v>438</v>
      </c>
      <c r="AL56" s="329">
        <f t="shared" si="3"/>
        <v>489</v>
      </c>
      <c r="AM56" s="329">
        <f t="shared" si="3"/>
        <v>489</v>
      </c>
      <c r="AN56" s="329">
        <f t="shared" si="3"/>
        <v>544</v>
      </c>
      <c r="AO56" s="329">
        <f t="shared" si="3"/>
        <v>544</v>
      </c>
      <c r="AP56" s="329">
        <f t="shared" si="3"/>
        <v>636</v>
      </c>
      <c r="AQ56" s="329">
        <f t="shared" si="3"/>
        <v>774</v>
      </c>
      <c r="AR56" s="329">
        <f t="shared" si="3"/>
        <v>875</v>
      </c>
    </row>
    <row r="57" spans="1:44">
      <c r="S57" s="52"/>
      <c r="T57" s="2214" t="s">
        <v>1990</v>
      </c>
      <c r="U57" s="1615"/>
      <c r="V57" s="1615"/>
      <c r="W57" s="1615"/>
      <c r="X57" s="1615"/>
      <c r="Y57" s="1615"/>
      <c r="Z57" s="1615"/>
      <c r="AA57" s="2215"/>
      <c r="AB57" s="43" t="s">
        <v>1940</v>
      </c>
      <c r="AC57" s="329" t="s">
        <v>369</v>
      </c>
      <c r="AD57" s="329" t="s">
        <v>369</v>
      </c>
      <c r="AE57" s="329">
        <f>ROUND(1882*Belarus*(1-D99),2)</f>
        <v>1882</v>
      </c>
      <c r="AF57" s="329">
        <f>ROUND(1910*Belarus*(1-D99),2)</f>
        <v>1910</v>
      </c>
      <c r="AG57" s="329">
        <f>ROUND(1938*Belarus*(1-D99),2)</f>
        <v>1938</v>
      </c>
      <c r="AH57" s="329">
        <f>ROUND(2031*Belarus*(1-D99),2)</f>
        <v>2031</v>
      </c>
      <c r="AI57" s="329" t="s">
        <v>369</v>
      </c>
      <c r="AJ57" s="329" t="s">
        <v>369</v>
      </c>
      <c r="AK57" s="329">
        <f>ROUND(2286*Belarus*(1-D99),2)</f>
        <v>2286</v>
      </c>
      <c r="AL57" s="329">
        <f>ROUND(2534*Belarus*(1-D99),2)</f>
        <v>2534</v>
      </c>
      <c r="AM57" s="329">
        <f>ROUND(2589*Belarus*(1-D99),2)</f>
        <v>2589</v>
      </c>
      <c r="AN57" s="329">
        <f>ROUND(2947*Belarus*(1-D99),2)</f>
        <v>2947</v>
      </c>
      <c r="AO57" s="329">
        <f>ROUND(3046*Belarus*(1-D99),2)</f>
        <v>3046</v>
      </c>
      <c r="AP57" s="329" t="s">
        <v>369</v>
      </c>
      <c r="AQ57" s="329">
        <f>ROUND(5092*Belarus*(1-D99),2)</f>
        <v>5092</v>
      </c>
      <c r="AR57" s="329" t="s">
        <v>369</v>
      </c>
    </row>
    <row r="58" spans="1:44" ht="12.75" customHeight="1">
      <c r="A58" s="2220" t="s">
        <v>4511</v>
      </c>
      <c r="B58" s="2220"/>
      <c r="C58" s="2220"/>
      <c r="D58" s="2220"/>
      <c r="E58" s="2220"/>
      <c r="F58" s="2220"/>
      <c r="G58" s="2220"/>
      <c r="H58" s="2220"/>
      <c r="I58" s="2220"/>
      <c r="J58" s="2220"/>
      <c r="K58" s="2220"/>
      <c r="L58" s="2220"/>
      <c r="M58" s="2220"/>
      <c r="N58" s="2220"/>
      <c r="O58" s="2220"/>
      <c r="P58" s="2220"/>
      <c r="Q58" s="2220"/>
      <c r="R58" s="2220"/>
      <c r="S58" s="52"/>
      <c r="T58" s="2216"/>
      <c r="U58" s="2217"/>
      <c r="V58" s="2217"/>
      <c r="W58" s="2217"/>
      <c r="X58" s="2217"/>
      <c r="Y58" s="2217"/>
      <c r="Z58" s="2217"/>
      <c r="AA58" s="2218"/>
      <c r="AB58" s="43" t="s">
        <v>1938</v>
      </c>
      <c r="AC58" s="329" t="s">
        <v>369</v>
      </c>
      <c r="AD58" s="329" t="s">
        <v>369</v>
      </c>
      <c r="AE58" s="329">
        <f>ROUND(2400*Belarus*(1-D99),2)</f>
        <v>2400</v>
      </c>
      <c r="AF58" s="329">
        <f>ROUND(2427*Belarus*(1-D99),2)</f>
        <v>2427</v>
      </c>
      <c r="AG58" s="329">
        <f>ROUND(2456*Belarus*(1-D99),2)</f>
        <v>2456</v>
      </c>
      <c r="AH58" s="329">
        <f>ROUND(2548*Belarus*(1-D99),2)</f>
        <v>2548</v>
      </c>
      <c r="AI58" s="329" t="s">
        <v>369</v>
      </c>
      <c r="AJ58" s="329" t="s">
        <v>369</v>
      </c>
      <c r="AK58" s="329">
        <f>ROUND(2869*Belarus*(1-D99),2)</f>
        <v>2869</v>
      </c>
      <c r="AL58" s="329">
        <f>ROUND(3228*Belarus*(1-D99),2)</f>
        <v>3228</v>
      </c>
      <c r="AM58" s="329">
        <f>ROUND(3284*Belarus*(1-D99),2)</f>
        <v>3284</v>
      </c>
      <c r="AN58" s="329">
        <f>ROUND(3723*Belarus*(1-D99),2)</f>
        <v>3723</v>
      </c>
      <c r="AO58" s="329">
        <f>ROUND(3823*Belarus*(1-D99),2)</f>
        <v>3823</v>
      </c>
      <c r="AP58" s="329" t="s">
        <v>369</v>
      </c>
      <c r="AQ58" s="329">
        <f>ROUND(6462*Belarus*(1-D99),2)</f>
        <v>6462</v>
      </c>
      <c r="AR58" s="329" t="s">
        <v>369</v>
      </c>
    </row>
    <row r="59" spans="1:44" ht="12.75" customHeight="1">
      <c r="A59" s="247" t="s">
        <v>1994</v>
      </c>
      <c r="B59" s="1292" t="s">
        <v>4512</v>
      </c>
      <c r="C59" s="1292"/>
      <c r="D59" s="1292"/>
      <c r="E59" s="1292"/>
      <c r="F59" s="1292"/>
      <c r="G59" s="1292"/>
      <c r="H59" s="1292"/>
      <c r="I59" s="1292"/>
      <c r="J59" s="1292"/>
      <c r="K59" s="1292"/>
      <c r="L59" s="1292"/>
      <c r="M59" s="1292"/>
      <c r="N59" s="1292"/>
      <c r="O59" s="1292"/>
      <c r="P59" s="1292"/>
      <c r="Q59" s="1292"/>
      <c r="R59" s="1292"/>
      <c r="S59" s="52"/>
      <c r="T59" s="2214" t="s">
        <v>1992</v>
      </c>
      <c r="U59" s="1615"/>
      <c r="V59" s="1615"/>
      <c r="W59" s="1615"/>
      <c r="X59" s="1615"/>
      <c r="Y59" s="1615"/>
      <c r="Z59" s="1615"/>
      <c r="AA59" s="2215"/>
      <c r="AB59" s="43" t="s">
        <v>1940</v>
      </c>
      <c r="AC59" s="329" t="s">
        <v>369</v>
      </c>
      <c r="AD59" s="329" t="s">
        <v>369</v>
      </c>
      <c r="AE59" s="329">
        <f>ROUND(2767*Belarus*(1-D99),2)</f>
        <v>2767</v>
      </c>
      <c r="AF59" s="329">
        <f>ROUND(2570*Belarus*(1-D99),2)</f>
        <v>2570</v>
      </c>
      <c r="AG59" s="329">
        <f>ROUND(2551*Belarus*(1-D99),2)</f>
        <v>2551</v>
      </c>
      <c r="AH59" s="329">
        <f>ROUND(2993*Belarus*(1-D99),2)</f>
        <v>2993</v>
      </c>
      <c r="AI59" s="329" t="s">
        <v>369</v>
      </c>
      <c r="AJ59" s="329" t="s">
        <v>369</v>
      </c>
      <c r="AK59" s="329">
        <f>ROUND(3762*Belarus*(1-D99),2)</f>
        <v>3762</v>
      </c>
      <c r="AL59" s="329">
        <f>ROUND(4059*Belarus*(1-D99),2)</f>
        <v>4059</v>
      </c>
      <c r="AM59" s="329">
        <f>ROUND(4011*Belarus*(1-D99),2)</f>
        <v>4011</v>
      </c>
      <c r="AN59" s="329">
        <f>ROUND(5155*Belarus*(1-D99),2)</f>
        <v>5155</v>
      </c>
      <c r="AO59" s="329">
        <f>ROUND(5918*Belarus*(1-D99),2)</f>
        <v>5918</v>
      </c>
      <c r="AP59" s="329" t="s">
        <v>369</v>
      </c>
      <c r="AQ59" s="329">
        <f>ROUND(9429*Belarus*(1-D99),2)</f>
        <v>9429</v>
      </c>
      <c r="AR59" s="329" t="s">
        <v>369</v>
      </c>
    </row>
    <row r="60" spans="1:44" ht="12.75" customHeight="1">
      <c r="A60" s="41" t="s">
        <v>1995</v>
      </c>
      <c r="B60" s="247"/>
      <c r="C60" s="1292" t="s">
        <v>1996</v>
      </c>
      <c r="D60" s="1292"/>
      <c r="E60" s="1292"/>
      <c r="F60" s="1292"/>
      <c r="G60" s="1292" t="s">
        <v>1997</v>
      </c>
      <c r="H60" s="1292"/>
      <c r="I60" s="1292"/>
      <c r="J60" s="1292"/>
      <c r="K60" s="1292" t="s">
        <v>1998</v>
      </c>
      <c r="L60" s="1292"/>
      <c r="M60" s="1292"/>
      <c r="N60" s="1292"/>
      <c r="O60" s="1292" t="s">
        <v>1999</v>
      </c>
      <c r="P60" s="1292"/>
      <c r="Q60" s="1292"/>
      <c r="R60" s="1292"/>
      <c r="S60" s="52"/>
      <c r="T60" s="2216"/>
      <c r="U60" s="2217"/>
      <c r="V60" s="2217"/>
      <c r="W60" s="2217"/>
      <c r="X60" s="2217"/>
      <c r="Y60" s="2217"/>
      <c r="Z60" s="2217"/>
      <c r="AA60" s="2218"/>
      <c r="AB60" s="43" t="s">
        <v>1938</v>
      </c>
      <c r="AC60" s="329" t="s">
        <v>369</v>
      </c>
      <c r="AD60" s="329" t="s">
        <v>369</v>
      </c>
      <c r="AE60" s="329">
        <f>ROUND(3503*Belarus*(1-D99),2)</f>
        <v>3503</v>
      </c>
      <c r="AF60" s="329">
        <f>ROUND(3306*Belarus*(1-D99),2)</f>
        <v>3306</v>
      </c>
      <c r="AG60" s="329">
        <f>ROUND(3288*Belarus*(1-D99),2)</f>
        <v>3288</v>
      </c>
      <c r="AH60" s="329">
        <f>ROUND(4220*Belarus*(1-D99),2)</f>
        <v>4220</v>
      </c>
      <c r="AI60" s="329" t="s">
        <v>369</v>
      </c>
      <c r="AJ60" s="329" t="s">
        <v>369</v>
      </c>
      <c r="AK60" s="329">
        <f>ROUND(4989*Belarus*(1-D99),2)</f>
        <v>4989</v>
      </c>
      <c r="AL60" s="329">
        <f>ROUND(5236*Belarus*(1-D99),2)</f>
        <v>5236</v>
      </c>
      <c r="AM60" s="329">
        <f>ROUND(5189*Belarus*(1-D99),2)</f>
        <v>5189</v>
      </c>
      <c r="AN60" s="329">
        <f>ROUND(6997*Belarus*(1-D99),2)</f>
        <v>6997</v>
      </c>
      <c r="AO60" s="329">
        <f>ROUND(7758*Belarus*(1-D99),2)</f>
        <v>7758</v>
      </c>
      <c r="AP60" s="329" t="s">
        <v>369</v>
      </c>
      <c r="AQ60" s="329">
        <f>ROUND(13111*Belarus*(1-D99),2)</f>
        <v>13111</v>
      </c>
      <c r="AR60" s="329" t="s">
        <v>369</v>
      </c>
    </row>
    <row r="61" spans="1:44" ht="12.75" customHeight="1">
      <c r="A61" s="399" t="s">
        <v>4513</v>
      </c>
      <c r="B61" s="43" t="s">
        <v>1938</v>
      </c>
      <c r="C61" s="2221">
        <f>ROUND(414*Belarus*(1-D99),2)</f>
        <v>414</v>
      </c>
      <c r="D61" s="2221"/>
      <c r="E61" s="2221"/>
      <c r="F61" s="2221"/>
      <c r="G61" s="2221">
        <f>ROUND(603*Belarus*(1-D99),2)</f>
        <v>603</v>
      </c>
      <c r="H61" s="2221"/>
      <c r="I61" s="2221"/>
      <c r="J61" s="2221"/>
      <c r="K61" s="2221">
        <f>ROUND(886*Belarus*(1-D99),2)</f>
        <v>886</v>
      </c>
      <c r="L61" s="2221"/>
      <c r="M61" s="2221"/>
      <c r="N61" s="2221"/>
      <c r="O61" s="2221">
        <f>ROUND(1271*Belarus*(1-D99),2)</f>
        <v>1271</v>
      </c>
      <c r="P61" s="2221"/>
      <c r="Q61" s="2221"/>
      <c r="R61" s="2221"/>
      <c r="S61" s="46"/>
      <c r="T61" s="2214" t="s">
        <v>1993</v>
      </c>
      <c r="U61" s="1615"/>
      <c r="V61" s="1615"/>
      <c r="W61" s="1615"/>
      <c r="X61" s="1615"/>
      <c r="Y61" s="1615"/>
      <c r="Z61" s="1615"/>
      <c r="AA61" s="2215"/>
      <c r="AB61" s="43" t="s">
        <v>1940</v>
      </c>
      <c r="AC61" s="329" t="s">
        <v>369</v>
      </c>
      <c r="AD61" s="329" t="s">
        <v>369</v>
      </c>
      <c r="AE61" s="329">
        <f>ROUND(1559*Belarus*(1-D99),2)</f>
        <v>1559</v>
      </c>
      <c r="AF61" s="329">
        <f>ROUND(1577*Belarus*(1-D99),2)</f>
        <v>1577</v>
      </c>
      <c r="AG61" s="329">
        <f>ROUND(1593*Belarus*(1-D99),2)</f>
        <v>1593</v>
      </c>
      <c r="AH61" s="329">
        <f>ROUND(1665*Belarus*(1-D99),2)</f>
        <v>1665</v>
      </c>
      <c r="AI61" s="329" t="s">
        <v>369</v>
      </c>
      <c r="AJ61" s="329" t="s">
        <v>369</v>
      </c>
      <c r="AK61" s="329">
        <f>ROUND(1771*Belarus*(1-D99),2)</f>
        <v>1771</v>
      </c>
      <c r="AL61" s="329">
        <f>ROUND(1996*Belarus*(1-D99),2)</f>
        <v>1996</v>
      </c>
      <c r="AM61" s="329">
        <f>ROUND(2027*Belarus*(1-D99),2)</f>
        <v>2027</v>
      </c>
      <c r="AN61" s="329">
        <f>ROUND(2313*Belarus*(1-D99),2)</f>
        <v>2313</v>
      </c>
      <c r="AO61" s="329">
        <f>ROUND(2359*Belarus*(1-D99),2)</f>
        <v>2359</v>
      </c>
      <c r="AP61" s="329" t="s">
        <v>369</v>
      </c>
      <c r="AQ61" s="329">
        <f>ROUND(3746*Belarus*(1-D99),2)</f>
        <v>3746</v>
      </c>
      <c r="AR61" s="329" t="s">
        <v>369</v>
      </c>
    </row>
    <row r="62" spans="1:44">
      <c r="A62" s="953" t="s">
        <v>1995</v>
      </c>
      <c r="B62" s="387"/>
      <c r="C62" s="1445" t="s">
        <v>2000</v>
      </c>
      <c r="D62" s="1445"/>
      <c r="E62" s="1445"/>
      <c r="F62" s="1445"/>
      <c r="G62" s="1445" t="s">
        <v>2001</v>
      </c>
      <c r="H62" s="1445"/>
      <c r="I62" s="1445"/>
      <c r="J62" s="1445"/>
      <c r="K62" s="1445" t="s">
        <v>2002</v>
      </c>
      <c r="L62" s="1445"/>
      <c r="M62" s="1445"/>
      <c r="N62" s="1445"/>
      <c r="O62" s="1445" t="s">
        <v>2003</v>
      </c>
      <c r="P62" s="1445"/>
      <c r="Q62" s="1445"/>
      <c r="R62" s="1445"/>
      <c r="S62" s="46"/>
      <c r="T62" s="2216"/>
      <c r="U62" s="2217"/>
      <c r="V62" s="2217"/>
      <c r="W62" s="2217"/>
      <c r="X62" s="2217"/>
      <c r="Y62" s="2217"/>
      <c r="Z62" s="2217"/>
      <c r="AA62" s="2218"/>
      <c r="AB62" s="43" t="s">
        <v>1938</v>
      </c>
      <c r="AC62" s="329" t="s">
        <v>369</v>
      </c>
      <c r="AD62" s="329" t="s">
        <v>369</v>
      </c>
      <c r="AE62" s="329">
        <f>ROUND(1926*Belarus*(1-D99),2)</f>
        <v>1926</v>
      </c>
      <c r="AF62" s="329">
        <f>ROUND(1943*Belarus*(1-D99),2)</f>
        <v>1943</v>
      </c>
      <c r="AG62" s="329">
        <f>ROUND(1961*Belarus*(1-D99),2)</f>
        <v>1961</v>
      </c>
      <c r="AH62" s="329">
        <f>ROUND(2032*Belarus*(1-D99),2)</f>
        <v>2032</v>
      </c>
      <c r="AI62" s="329" t="s">
        <v>369</v>
      </c>
      <c r="AJ62" s="329" t="s">
        <v>369</v>
      </c>
      <c r="AK62" s="329">
        <f>ROUND(2380*Belarus*(1-D99),2)</f>
        <v>2380</v>
      </c>
      <c r="AL62" s="329">
        <f>ROUND(2898*Belarus*(1-D99),2)</f>
        <v>2898</v>
      </c>
      <c r="AM62" s="329">
        <f>ROUND(2927*Belarus*(1-D99),2)</f>
        <v>2927</v>
      </c>
      <c r="AN62" s="329">
        <f>ROUND(3475*Belarus*(1-D99),2)</f>
        <v>3475</v>
      </c>
      <c r="AO62" s="329">
        <f>ROUND(3522*Belarus*(1-D99),2)</f>
        <v>3522</v>
      </c>
      <c r="AP62" s="329" t="s">
        <v>369</v>
      </c>
      <c r="AQ62" s="329">
        <f>ROUND(5192*Belarus*(1-D99),2)</f>
        <v>5192</v>
      </c>
      <c r="AR62" s="329" t="s">
        <v>369</v>
      </c>
    </row>
    <row r="63" spans="1:44">
      <c r="A63" s="49" t="s">
        <v>2004</v>
      </c>
      <c r="B63" s="50" t="s">
        <v>1938</v>
      </c>
      <c r="C63" s="2221">
        <f>ROUND(684*Belarus*(1-D99),2)</f>
        <v>684</v>
      </c>
      <c r="D63" s="2221"/>
      <c r="E63" s="2221"/>
      <c r="F63" s="2221"/>
      <c r="G63" s="2221">
        <f>ROUND(684*Belarus*(1-D99),2)</f>
        <v>684</v>
      </c>
      <c r="H63" s="2221"/>
      <c r="I63" s="2221"/>
      <c r="J63" s="2221"/>
      <c r="K63" s="2221">
        <f>ROUND(1293*Belarus*(1-D99),2)</f>
        <v>1293</v>
      </c>
      <c r="L63" s="2221"/>
      <c r="M63" s="2221"/>
      <c r="N63" s="2221"/>
      <c r="O63" s="2221">
        <f>ROUND(1917*Belarus*(1-D99),2)</f>
        <v>1917</v>
      </c>
      <c r="P63" s="2221"/>
      <c r="Q63" s="2221"/>
      <c r="R63" s="2221"/>
      <c r="S63" s="46"/>
      <c r="T63" s="2214" t="s">
        <v>6670</v>
      </c>
      <c r="U63" s="1615"/>
      <c r="V63" s="1615"/>
      <c r="W63" s="1615"/>
      <c r="X63" s="1615"/>
      <c r="Y63" s="1615"/>
      <c r="Z63" s="1615"/>
      <c r="AA63" s="2215"/>
      <c r="AB63" s="43" t="s">
        <v>1940</v>
      </c>
      <c r="AC63" s="329" t="s">
        <v>369</v>
      </c>
      <c r="AD63" s="329" t="s">
        <v>369</v>
      </c>
      <c r="AE63" s="329">
        <f>ROUND(1290*Belarus*(1-D99),2)</f>
        <v>1290</v>
      </c>
      <c r="AF63" s="329">
        <f>ROUND(1299*Belarus*(1-D99),2)</f>
        <v>1299</v>
      </c>
      <c r="AG63" s="329">
        <f>ROUND(1307*Belarus*(1-D99),2)</f>
        <v>1307</v>
      </c>
      <c r="AH63" s="329">
        <f>ROUND(1360*Belarus*(1-D99),2)</f>
        <v>1360</v>
      </c>
      <c r="AI63" s="329" t="s">
        <v>369</v>
      </c>
      <c r="AJ63" s="329" t="s">
        <v>369</v>
      </c>
      <c r="AK63" s="329">
        <f>ROUND(1427*Belarus*(1-D99),2)</f>
        <v>1427</v>
      </c>
      <c r="AL63" s="329">
        <f>ROUND(1782*Belarus*(1-D99),2)</f>
        <v>1782</v>
      </c>
      <c r="AM63" s="329">
        <f>ROUND(1801*Belarus*(1-D99),2)</f>
        <v>1801</v>
      </c>
      <c r="AN63" s="329">
        <f>ROUND(2313*Belarus*(1-D99),2)</f>
        <v>2313</v>
      </c>
      <c r="AO63" s="329">
        <f>ROUND(2359*Belarus*(1-D99),2)</f>
        <v>2359</v>
      </c>
      <c r="AP63" s="329" t="s">
        <v>369</v>
      </c>
      <c r="AQ63" s="329">
        <f>ROUND(3174*Belarus*(1-D99),2)</f>
        <v>3174</v>
      </c>
      <c r="AR63" s="329" t="s">
        <v>369</v>
      </c>
    </row>
    <row r="64" spans="1:44">
      <c r="A64" s="953" t="s">
        <v>1995</v>
      </c>
      <c r="B64" s="387"/>
      <c r="C64" s="1445" t="s">
        <v>2005</v>
      </c>
      <c r="D64" s="1445"/>
      <c r="E64" s="1445"/>
      <c r="F64" s="1445"/>
      <c r="G64" s="1445" t="s">
        <v>1906</v>
      </c>
      <c r="H64" s="1445"/>
      <c r="I64" s="1445"/>
      <c r="J64" s="1445"/>
      <c r="K64" s="1445" t="s">
        <v>2006</v>
      </c>
      <c r="L64" s="1445"/>
      <c r="M64" s="1445"/>
      <c r="N64" s="1445"/>
      <c r="O64" s="1445" t="s">
        <v>2007</v>
      </c>
      <c r="P64" s="1445"/>
      <c r="Q64" s="1445"/>
      <c r="R64" s="1445"/>
      <c r="S64" s="46"/>
      <c r="T64" s="2216"/>
      <c r="U64" s="2217"/>
      <c r="V64" s="2217"/>
      <c r="W64" s="2217"/>
      <c r="X64" s="2217"/>
      <c r="Y64" s="2217"/>
      <c r="Z64" s="2217"/>
      <c r="AA64" s="2218"/>
      <c r="AB64" s="43" t="s">
        <v>1938</v>
      </c>
      <c r="AC64" s="329" t="s">
        <v>369</v>
      </c>
      <c r="AD64" s="329" t="s">
        <v>369</v>
      </c>
      <c r="AE64" s="329">
        <f>ROUND(1562*Belarus*(1-D99),2)</f>
        <v>1562</v>
      </c>
      <c r="AF64" s="329">
        <f>ROUND(1572*Belarus*(1-D99),2)</f>
        <v>1572</v>
      </c>
      <c r="AG64" s="329">
        <f>ROUND(1581*Belarus*(1-D99),2)</f>
        <v>1581</v>
      </c>
      <c r="AH64" s="329">
        <f>ROUND(1633*Belarus*(1-D99),2)</f>
        <v>1633</v>
      </c>
      <c r="AI64" s="329" t="s">
        <v>369</v>
      </c>
      <c r="AJ64" s="329" t="s">
        <v>369</v>
      </c>
      <c r="AK64" s="329">
        <f>ROUND(1807*Belarus*(1-D99),2)</f>
        <v>1807</v>
      </c>
      <c r="AL64" s="329">
        <f>ROUND(2214*Belarus*(1-D99),2)</f>
        <v>2214</v>
      </c>
      <c r="AM64" s="329">
        <f>ROUND(2233*Belarus*(1-D99),2)</f>
        <v>2233</v>
      </c>
      <c r="AN64" s="329">
        <f>ROUND(2843*Belarus*(1-D99),2)</f>
        <v>2843</v>
      </c>
      <c r="AO64" s="329">
        <f>ROUND(2889*Belarus*(1-D99),2)</f>
        <v>2889</v>
      </c>
      <c r="AP64" s="329" t="s">
        <v>369</v>
      </c>
      <c r="AQ64" s="329">
        <f>ROUND(3963*Belarus*(1-D99),2)</f>
        <v>3963</v>
      </c>
      <c r="AR64" s="329" t="s">
        <v>369</v>
      </c>
    </row>
    <row r="65" spans="1:48">
      <c r="A65" s="2222" t="s">
        <v>2008</v>
      </c>
      <c r="B65" s="50" t="s">
        <v>1940</v>
      </c>
      <c r="C65" s="2221">
        <f>ROUND(258*Belarus*(1-D99),2)</f>
        <v>258</v>
      </c>
      <c r="D65" s="2221"/>
      <c r="E65" s="2221"/>
      <c r="F65" s="2221"/>
      <c r="G65" s="2221">
        <f>ROUND(258*Belarus*(1-D99),2)</f>
        <v>258</v>
      </c>
      <c r="H65" s="2221"/>
      <c r="I65" s="2221"/>
      <c r="J65" s="2221"/>
      <c r="K65" s="2221">
        <f>ROUND(360*Belarus*(1-D99),2)</f>
        <v>360</v>
      </c>
      <c r="L65" s="2221"/>
      <c r="M65" s="2221"/>
      <c r="N65" s="2221"/>
      <c r="O65" s="2221">
        <f>ROUND(464*Belarus*(1-D99),2)</f>
        <v>464</v>
      </c>
      <c r="P65" s="2221"/>
      <c r="Q65" s="2221"/>
      <c r="R65" s="2221"/>
      <c r="S65" s="46"/>
      <c r="T65" s="2214" t="s">
        <v>1970</v>
      </c>
      <c r="U65" s="1615"/>
      <c r="V65" s="1615"/>
      <c r="W65" s="1615"/>
      <c r="X65" s="1615"/>
      <c r="Y65" s="1615"/>
      <c r="Z65" s="1615"/>
      <c r="AA65" s="2215"/>
      <c r="AB65" s="43" t="s">
        <v>1940</v>
      </c>
      <c r="AC65" s="329">
        <f>AC31</f>
        <v>518</v>
      </c>
      <c r="AD65" s="329">
        <f t="shared" ref="AD65:AR65" si="4">AD31</f>
        <v>518</v>
      </c>
      <c r="AE65" s="329">
        <f t="shared" si="4"/>
        <v>518</v>
      </c>
      <c r="AF65" s="329">
        <f t="shared" si="4"/>
        <v>523</v>
      </c>
      <c r="AG65" s="329">
        <f t="shared" si="4"/>
        <v>524</v>
      </c>
      <c r="AH65" s="329">
        <f t="shared" si="4"/>
        <v>530</v>
      </c>
      <c r="AI65" s="329">
        <f t="shared" si="4"/>
        <v>550</v>
      </c>
      <c r="AJ65" s="329" t="str">
        <f t="shared" si="4"/>
        <v>-</v>
      </c>
      <c r="AK65" s="329">
        <f t="shared" si="4"/>
        <v>562</v>
      </c>
      <c r="AL65" s="329">
        <f t="shared" si="4"/>
        <v>633</v>
      </c>
      <c r="AM65" s="329">
        <f t="shared" si="4"/>
        <v>645</v>
      </c>
      <c r="AN65" s="329">
        <f t="shared" si="4"/>
        <v>707</v>
      </c>
      <c r="AO65" s="329">
        <f t="shared" si="4"/>
        <v>732</v>
      </c>
      <c r="AP65" s="329" t="str">
        <f t="shared" si="4"/>
        <v>-</v>
      </c>
      <c r="AQ65" s="329">
        <f t="shared" si="4"/>
        <v>939</v>
      </c>
      <c r="AR65" s="329">
        <f t="shared" si="4"/>
        <v>1118</v>
      </c>
    </row>
    <row r="66" spans="1:48" ht="15" customHeight="1">
      <c r="A66" s="2222"/>
      <c r="B66" s="50" t="s">
        <v>2010</v>
      </c>
      <c r="C66" s="2221" t="s">
        <v>369</v>
      </c>
      <c r="D66" s="2221"/>
      <c r="E66" s="2221"/>
      <c r="F66" s="2221"/>
      <c r="G66" s="2221">
        <f>ROUND(1537*Belarus*(1-D99),2)</f>
        <v>1537</v>
      </c>
      <c r="H66" s="2221"/>
      <c r="I66" s="2221"/>
      <c r="J66" s="2221"/>
      <c r="K66" s="2221" t="s">
        <v>369</v>
      </c>
      <c r="L66" s="2221"/>
      <c r="M66" s="2221"/>
      <c r="N66" s="2221"/>
      <c r="O66" s="2221" t="s">
        <v>369</v>
      </c>
      <c r="P66" s="2221"/>
      <c r="Q66" s="2221"/>
      <c r="R66" s="2221"/>
      <c r="S66" s="46"/>
      <c r="T66" s="2216"/>
      <c r="U66" s="2217"/>
      <c r="V66" s="2217"/>
      <c r="W66" s="2217"/>
      <c r="X66" s="2217"/>
      <c r="Y66" s="2217"/>
      <c r="Z66" s="2217"/>
      <c r="AA66" s="2218"/>
      <c r="AB66" s="43" t="s">
        <v>1938</v>
      </c>
      <c r="AC66" s="329">
        <f t="shared" ref="AC66:AR67" si="5">AC32</f>
        <v>809</v>
      </c>
      <c r="AD66" s="329">
        <f t="shared" si="5"/>
        <v>809</v>
      </c>
      <c r="AE66" s="329">
        <f>AE32</f>
        <v>809</v>
      </c>
      <c r="AF66" s="329">
        <f t="shared" si="5"/>
        <v>809</v>
      </c>
      <c r="AG66" s="329">
        <f t="shared" si="5"/>
        <v>809</v>
      </c>
      <c r="AH66" s="329">
        <f t="shared" si="5"/>
        <v>809</v>
      </c>
      <c r="AI66" s="329">
        <f t="shared" si="5"/>
        <v>845</v>
      </c>
      <c r="AJ66" s="329">
        <f t="shared" si="5"/>
        <v>845</v>
      </c>
      <c r="AK66" s="329">
        <f t="shared" si="5"/>
        <v>859</v>
      </c>
      <c r="AL66" s="329">
        <f t="shared" si="5"/>
        <v>1025</v>
      </c>
      <c r="AM66" s="329">
        <f t="shared" si="5"/>
        <v>1040</v>
      </c>
      <c r="AN66" s="329">
        <f t="shared" si="5"/>
        <v>1159</v>
      </c>
      <c r="AO66" s="329">
        <f t="shared" si="5"/>
        <v>1189</v>
      </c>
      <c r="AP66" s="329">
        <f t="shared" si="5"/>
        <v>1296</v>
      </c>
      <c r="AQ66" s="329">
        <f t="shared" si="5"/>
        <v>1602</v>
      </c>
      <c r="AR66" s="329">
        <f t="shared" si="5"/>
        <v>1947</v>
      </c>
    </row>
    <row r="67" spans="1:48">
      <c r="A67" s="2223"/>
      <c r="B67" s="957" t="s">
        <v>1938</v>
      </c>
      <c r="C67" s="1474">
        <f>ROUND(525*Belarus*(1-D99),2)</f>
        <v>525</v>
      </c>
      <c r="D67" s="1474"/>
      <c r="E67" s="1474"/>
      <c r="F67" s="1474"/>
      <c r="G67" s="1474">
        <f>ROUND(525*Belarus*(1-D99),2)</f>
        <v>525</v>
      </c>
      <c r="H67" s="1474"/>
      <c r="I67" s="1474"/>
      <c r="J67" s="1474"/>
      <c r="K67" s="1474">
        <f>ROUND(763*Belarus*(1-D99),2)</f>
        <v>763</v>
      </c>
      <c r="L67" s="1474"/>
      <c r="M67" s="1474"/>
      <c r="N67" s="1474"/>
      <c r="O67" s="1474">
        <f>ROUND(1001*Belarus*(1-D99),2)</f>
        <v>1001</v>
      </c>
      <c r="P67" s="1474"/>
      <c r="Q67" s="1474"/>
      <c r="R67" s="1474"/>
      <c r="S67" s="46"/>
      <c r="T67" s="1409" t="s">
        <v>1972</v>
      </c>
      <c r="U67" s="1410"/>
      <c r="V67" s="1410"/>
      <c r="W67" s="1410"/>
      <c r="X67" s="1410"/>
      <c r="Y67" s="1410"/>
      <c r="Z67" s="1410"/>
      <c r="AA67" s="1411"/>
      <c r="AB67" s="43" t="s">
        <v>1938</v>
      </c>
      <c r="AC67" s="329">
        <f>AC33</f>
        <v>744</v>
      </c>
      <c r="AD67" s="329">
        <f t="shared" si="5"/>
        <v>744</v>
      </c>
      <c r="AE67" s="329">
        <f t="shared" si="5"/>
        <v>744</v>
      </c>
      <c r="AF67" s="329">
        <f t="shared" si="5"/>
        <v>752</v>
      </c>
      <c r="AG67" s="329">
        <f t="shared" si="5"/>
        <v>759</v>
      </c>
      <c r="AH67" s="329">
        <f t="shared" si="5"/>
        <v>774</v>
      </c>
      <c r="AI67" s="329">
        <f t="shared" si="5"/>
        <v>823</v>
      </c>
      <c r="AJ67" s="329">
        <f t="shared" si="5"/>
        <v>823</v>
      </c>
      <c r="AK67" s="329">
        <f t="shared" si="5"/>
        <v>838</v>
      </c>
      <c r="AL67" s="329">
        <f t="shared" si="5"/>
        <v>957</v>
      </c>
      <c r="AM67" s="329">
        <f t="shared" si="5"/>
        <v>991</v>
      </c>
      <c r="AN67" s="329">
        <f t="shared" si="5"/>
        <v>1089</v>
      </c>
      <c r="AO67" s="329">
        <f t="shared" si="5"/>
        <v>1119</v>
      </c>
      <c r="AP67" s="329">
        <f t="shared" si="5"/>
        <v>1534</v>
      </c>
      <c r="AQ67" s="329">
        <f t="shared" si="5"/>
        <v>1534</v>
      </c>
      <c r="AR67" s="329">
        <f t="shared" si="5"/>
        <v>1941</v>
      </c>
    </row>
    <row r="68" spans="1:48" ht="15">
      <c r="A68" s="953" t="s">
        <v>1995</v>
      </c>
      <c r="B68" s="39"/>
      <c r="C68" s="1277" t="s">
        <v>2014</v>
      </c>
      <c r="D68" s="2224"/>
      <c r="E68" s="1277" t="s">
        <v>2015</v>
      </c>
      <c r="F68" s="2224"/>
      <c r="G68" s="1277" t="s">
        <v>2016</v>
      </c>
      <c r="H68" s="2224"/>
      <c r="I68" s="1277" t="s">
        <v>2017</v>
      </c>
      <c r="J68" s="2224"/>
      <c r="K68" s="1277" t="s">
        <v>2018</v>
      </c>
      <c r="L68" s="2224"/>
      <c r="M68" s="1277" t="s">
        <v>2019</v>
      </c>
      <c r="N68" s="2224"/>
      <c r="O68" s="1277" t="s">
        <v>2020</v>
      </c>
      <c r="P68" s="2224"/>
      <c r="Q68" s="1277" t="s">
        <v>2021</v>
      </c>
      <c r="R68" s="2224"/>
    </row>
    <row r="69" spans="1:48">
      <c r="A69" s="51" t="s">
        <v>2023</v>
      </c>
      <c r="B69" s="50" t="s">
        <v>1938</v>
      </c>
      <c r="C69" s="2221">
        <f>ROUND(726*Belarus*(1-D99),2)</f>
        <v>726</v>
      </c>
      <c r="D69" s="2221"/>
      <c r="E69" s="2221">
        <f>ROUND(929*Belarus*(1-D99),2)</f>
        <v>929</v>
      </c>
      <c r="F69" s="2221"/>
      <c r="G69" s="2221">
        <f>ROUND(1214*Belarus*(1-D99),2)</f>
        <v>1214</v>
      </c>
      <c r="H69" s="2221"/>
      <c r="I69" s="2221">
        <f>ROUND(1687*Belarus*(1-D99),2)</f>
        <v>1687</v>
      </c>
      <c r="J69" s="2221"/>
      <c r="K69" s="2221">
        <f>ROUND(2358*Belarus*(1-D99),2)</f>
        <v>2358</v>
      </c>
      <c r="L69" s="2221"/>
      <c r="M69" s="2221">
        <f>ROUND(2988*Belarus*(1-D99),2)</f>
        <v>2988</v>
      </c>
      <c r="N69" s="2221"/>
      <c r="O69" s="2221">
        <f>ROUND(5501*Belarus*(1-D99),2)</f>
        <v>5501</v>
      </c>
      <c r="P69" s="2221"/>
      <c r="Q69" s="2221">
        <f>ROUND(8885*Belarus*(1-D99),2)</f>
        <v>8885</v>
      </c>
      <c r="R69" s="2221"/>
    </row>
    <row r="70" spans="1:48" ht="18">
      <c r="Y70" s="2225" t="s">
        <v>2025</v>
      </c>
      <c r="Z70" s="2225"/>
      <c r="AA70" s="2225"/>
      <c r="AB70" s="2225"/>
      <c r="AC70" s="2225"/>
      <c r="AD70" s="2225"/>
      <c r="AE70" s="2225"/>
      <c r="AF70" s="2225"/>
      <c r="AG70" s="2225"/>
      <c r="AH70" s="2225"/>
      <c r="AI70" s="2225"/>
      <c r="AJ70" s="2225"/>
      <c r="AK70" s="2225"/>
      <c r="AL70" s="2225"/>
      <c r="AM70" s="2225"/>
      <c r="AN70" s="2225"/>
      <c r="AO70" s="2225"/>
      <c r="AP70" s="2225"/>
      <c r="AQ70" s="2225"/>
      <c r="AR70" s="2225"/>
    </row>
    <row r="71" spans="1:48" ht="38.25" customHeight="1">
      <c r="A71" s="1798" t="s">
        <v>4514</v>
      </c>
      <c r="B71" s="1798"/>
      <c r="C71" s="1798"/>
      <c r="D71" s="1798"/>
      <c r="E71" s="1798"/>
      <c r="F71" s="1798"/>
      <c r="G71" s="1798"/>
      <c r="H71" s="1798"/>
      <c r="I71" s="1798"/>
      <c r="J71" s="1798"/>
      <c r="K71" s="1798"/>
      <c r="L71" s="1798"/>
      <c r="M71" s="1798"/>
      <c r="N71" s="1798"/>
      <c r="O71" s="1798"/>
      <c r="P71" s="1798"/>
      <c r="Q71" s="1798"/>
      <c r="R71" s="1798"/>
      <c r="S71" s="1798"/>
      <c r="T71" s="1798"/>
      <c r="U71" s="1798"/>
      <c r="V71" s="1798"/>
      <c r="W71" s="1798"/>
      <c r="X71" s="958"/>
      <c r="Y71" s="2226" t="s">
        <v>6671</v>
      </c>
      <c r="Z71" s="2227"/>
      <c r="AA71" s="1794" t="s">
        <v>6547</v>
      </c>
      <c r="AB71" s="1794"/>
      <c r="AC71" s="1794"/>
      <c r="AD71" s="1794" t="s">
        <v>6548</v>
      </c>
      <c r="AE71" s="1794"/>
      <c r="AF71" s="1794"/>
      <c r="AG71" s="1794"/>
      <c r="AH71" s="1794"/>
      <c r="AI71" s="1794"/>
      <c r="AJ71" s="1794" t="s">
        <v>6549</v>
      </c>
      <c r="AK71" s="1794"/>
      <c r="AL71" s="1794"/>
      <c r="AM71" s="1794"/>
      <c r="AN71" s="1794"/>
      <c r="AO71" s="1794"/>
      <c r="AP71" s="1794"/>
      <c r="AQ71" s="1794" t="s">
        <v>6550</v>
      </c>
      <c r="AR71" s="1794"/>
      <c r="AS71" s="134"/>
      <c r="AT71" s="134"/>
      <c r="AU71" s="134"/>
      <c r="AV71" s="134"/>
    </row>
    <row r="72" spans="1:48" ht="15" customHeight="1">
      <c r="A72" s="39" t="s">
        <v>1994</v>
      </c>
      <c r="B72" s="39"/>
      <c r="C72" s="1277" t="s">
        <v>1494</v>
      </c>
      <c r="D72" s="1277"/>
      <c r="E72" s="1277"/>
      <c r="F72" s="1277"/>
      <c r="G72" s="1277"/>
      <c r="H72" s="1277"/>
      <c r="I72" s="1277"/>
      <c r="J72" s="1277"/>
      <c r="K72" s="1277"/>
      <c r="L72" s="1277"/>
      <c r="M72" s="1277"/>
      <c r="N72" s="1277"/>
      <c r="O72" s="1277"/>
      <c r="P72" s="1277"/>
      <c r="Q72" s="1277"/>
      <c r="R72" s="1277"/>
      <c r="S72" s="1277"/>
      <c r="T72" s="1277"/>
      <c r="U72" s="1277"/>
      <c r="V72" s="1277"/>
      <c r="W72" s="1277"/>
      <c r="X72" s="831"/>
      <c r="Y72" s="2228"/>
      <c r="Z72" s="2229"/>
      <c r="AA72" s="1629" t="s">
        <v>6551</v>
      </c>
      <c r="AB72" s="1629"/>
      <c r="AC72" s="1629"/>
      <c r="AD72" s="1629" t="s">
        <v>6552</v>
      </c>
      <c r="AE72" s="1629"/>
      <c r="AF72" s="1629"/>
      <c r="AG72" s="1629"/>
      <c r="AH72" s="1629"/>
      <c r="AI72" s="1629"/>
      <c r="AJ72" s="1629" t="s">
        <v>6553</v>
      </c>
      <c r="AK72" s="1629"/>
      <c r="AL72" s="1629"/>
      <c r="AM72" s="1629"/>
      <c r="AN72" s="1629"/>
      <c r="AO72" s="1629"/>
      <c r="AP72" s="1629"/>
      <c r="AQ72" s="1277" t="s">
        <v>6554</v>
      </c>
      <c r="AR72" s="1277"/>
      <c r="AS72" s="134"/>
      <c r="AT72" s="134"/>
      <c r="AU72" s="134"/>
      <c r="AV72" s="134"/>
    </row>
    <row r="73" spans="1:48">
      <c r="A73" s="953" t="s">
        <v>1934</v>
      </c>
      <c r="B73" s="39"/>
      <c r="C73" s="47">
        <v>80</v>
      </c>
      <c r="D73" s="47">
        <v>100</v>
      </c>
      <c r="E73" s="47">
        <v>110</v>
      </c>
      <c r="F73" s="47">
        <v>115</v>
      </c>
      <c r="G73" s="47">
        <v>120</v>
      </c>
      <c r="H73" s="47">
        <v>125</v>
      </c>
      <c r="I73" s="47">
        <v>130</v>
      </c>
      <c r="J73" s="47">
        <v>135</v>
      </c>
      <c r="K73" s="47">
        <v>140</v>
      </c>
      <c r="L73" s="47">
        <v>150</v>
      </c>
      <c r="M73" s="47">
        <v>160</v>
      </c>
      <c r="N73" s="47">
        <v>180</v>
      </c>
      <c r="O73" s="47">
        <v>200</v>
      </c>
      <c r="P73" s="47">
        <v>210</v>
      </c>
      <c r="Q73" s="47">
        <v>220</v>
      </c>
      <c r="R73" s="47">
        <v>250</v>
      </c>
      <c r="S73" s="2230">
        <v>280</v>
      </c>
      <c r="T73" s="2231"/>
      <c r="U73" s="47">
        <v>300</v>
      </c>
      <c r="V73" s="47">
        <v>350</v>
      </c>
      <c r="W73" s="47">
        <v>400</v>
      </c>
      <c r="X73" s="959"/>
      <c r="Y73" s="2148">
        <v>80</v>
      </c>
      <c r="Z73" s="2148"/>
      <c r="AA73" s="2088">
        <v>150</v>
      </c>
      <c r="AB73" s="2232"/>
      <c r="AC73" s="2089"/>
      <c r="AD73" s="1281">
        <v>81</v>
      </c>
      <c r="AE73" s="1281"/>
      <c r="AF73" s="1281"/>
      <c r="AG73" s="1281"/>
      <c r="AH73" s="1281"/>
      <c r="AI73" s="1281"/>
      <c r="AJ73" s="1281">
        <v>46</v>
      </c>
      <c r="AK73" s="1281"/>
      <c r="AL73" s="1281"/>
      <c r="AM73" s="1281"/>
      <c r="AN73" s="1281"/>
      <c r="AO73" s="1281"/>
      <c r="AP73" s="1281"/>
      <c r="AQ73" s="1281">
        <v>42</v>
      </c>
      <c r="AR73" s="1281"/>
      <c r="AS73" s="134"/>
      <c r="AT73" s="134"/>
      <c r="AU73" s="134"/>
      <c r="AV73" s="134"/>
    </row>
    <row r="74" spans="1:48">
      <c r="A74" s="49" t="s">
        <v>2009</v>
      </c>
      <c r="B74" s="50" t="s">
        <v>1938</v>
      </c>
      <c r="C74" s="329">
        <f>ROUND(503*Belarus*(1-D99),2)</f>
        <v>503</v>
      </c>
      <c r="D74" s="329">
        <f>ROUND(519*Belarus*(1-D99),2)</f>
        <v>519</v>
      </c>
      <c r="E74" s="329">
        <f>ROUND(520*Belarus*(1-D99),2)</f>
        <v>520</v>
      </c>
      <c r="F74" s="329">
        <f>ROUND(525*Belarus*(1-D99),2)</f>
        <v>525</v>
      </c>
      <c r="G74" s="329">
        <f>ROUND(528*Belarus*(1-D99),2)</f>
        <v>528</v>
      </c>
      <c r="H74" s="329" t="s">
        <v>369</v>
      </c>
      <c r="I74" s="329">
        <f>ROUND(530*Belarus*(1-D99),2)</f>
        <v>530</v>
      </c>
      <c r="J74" s="329">
        <f>ROUND(531*Belarus*(1-D99),2)</f>
        <v>531</v>
      </c>
      <c r="K74" s="329">
        <f>ROUND(531*Belarus*(1-D99),2)</f>
        <v>531</v>
      </c>
      <c r="L74" s="329">
        <f>ROUND(534*Belarus*(1-D99),2)</f>
        <v>534</v>
      </c>
      <c r="M74" s="329">
        <f>ROUND(535*Belarus*(1-D99),2)</f>
        <v>535</v>
      </c>
      <c r="N74" s="329">
        <f>ROUND(576*Belarus*(1-D99),2)</f>
        <v>576</v>
      </c>
      <c r="O74" s="329">
        <f>ROUND(657*Belarus*(1-D99),2)</f>
        <v>657</v>
      </c>
      <c r="P74" s="329">
        <f>ROUND(671*Belarus*(1-D99),2)</f>
        <v>671</v>
      </c>
      <c r="Q74" s="329">
        <f>ROUND(672*Belarus*(1-D99),2)</f>
        <v>672</v>
      </c>
      <c r="R74" s="329">
        <f>ROUND(775*Belarus*(1-D99),2)</f>
        <v>775</v>
      </c>
      <c r="S74" s="1348">
        <f>ROUND(776*Belarus*(1-D99),2)</f>
        <v>776</v>
      </c>
      <c r="T74" s="1350"/>
      <c r="U74" s="329">
        <f>ROUND(865*Belarus*(1-D99),2)</f>
        <v>865</v>
      </c>
      <c r="V74" s="329">
        <f>ROUND(900*Belarus*(1-D99),2)</f>
        <v>900</v>
      </c>
      <c r="W74" s="329">
        <f>ROUND(1212*Belarus*(1-D99),2)</f>
        <v>1212</v>
      </c>
      <c r="X74" s="76"/>
      <c r="Y74" s="2233">
        <v>100</v>
      </c>
      <c r="Z74" s="2233"/>
      <c r="AA74" s="2234">
        <v>187</v>
      </c>
      <c r="AB74" s="2235"/>
      <c r="AC74" s="2236"/>
      <c r="AD74" s="1281">
        <v>101</v>
      </c>
      <c r="AE74" s="1281"/>
      <c r="AF74" s="1281"/>
      <c r="AG74" s="1281"/>
      <c r="AH74" s="1281"/>
      <c r="AI74" s="1281"/>
      <c r="AJ74" s="1281">
        <v>57</v>
      </c>
      <c r="AK74" s="1281"/>
      <c r="AL74" s="1281"/>
      <c r="AM74" s="1281"/>
      <c r="AN74" s="1281"/>
      <c r="AO74" s="1281"/>
      <c r="AP74" s="1281"/>
      <c r="AQ74" s="1281">
        <v>47</v>
      </c>
      <c r="AR74" s="1281"/>
      <c r="AS74" s="134"/>
      <c r="AT74" s="134"/>
      <c r="AU74" s="134"/>
      <c r="AV74" s="134"/>
    </row>
    <row r="75" spans="1:48" ht="25.5">
      <c r="A75" s="51" t="s">
        <v>2011</v>
      </c>
      <c r="B75" s="50" t="s">
        <v>1938</v>
      </c>
      <c r="C75" s="329">
        <f>ROUND(2093*Belarus*(1-D99),2)</f>
        <v>2093</v>
      </c>
      <c r="D75" s="329">
        <f>C75</f>
        <v>2093</v>
      </c>
      <c r="E75" s="329">
        <f>C75</f>
        <v>2093</v>
      </c>
      <c r="F75" s="329">
        <f>C75</f>
        <v>2093</v>
      </c>
      <c r="G75" s="329">
        <f>C75</f>
        <v>2093</v>
      </c>
      <c r="H75" s="329" t="s">
        <v>369</v>
      </c>
      <c r="I75" s="329">
        <f>C75</f>
        <v>2093</v>
      </c>
      <c r="J75" s="329">
        <f>ROUND(2447*Belarus*(1-D99),2)</f>
        <v>2447</v>
      </c>
      <c r="K75" s="329">
        <f>J75</f>
        <v>2447</v>
      </c>
      <c r="L75" s="329">
        <f>J75</f>
        <v>2447</v>
      </c>
      <c r="M75" s="329">
        <f>J75</f>
        <v>2447</v>
      </c>
      <c r="N75" s="329">
        <f>J75</f>
        <v>2447</v>
      </c>
      <c r="O75" s="329">
        <f>J75</f>
        <v>2447</v>
      </c>
      <c r="P75" s="329" t="s">
        <v>369</v>
      </c>
      <c r="Q75" s="329">
        <f>J75</f>
        <v>2447</v>
      </c>
      <c r="R75" s="329">
        <f>J75</f>
        <v>2447</v>
      </c>
      <c r="S75" s="1348" t="s">
        <v>369</v>
      </c>
      <c r="T75" s="1350"/>
      <c r="U75" s="329">
        <f>J75</f>
        <v>2447</v>
      </c>
      <c r="V75" s="329" t="s">
        <v>369</v>
      </c>
      <c r="W75" s="329" t="s">
        <v>369</v>
      </c>
      <c r="X75" s="76"/>
      <c r="Y75" s="2148">
        <v>130</v>
      </c>
      <c r="Z75" s="2148"/>
      <c r="AA75" s="2088">
        <v>250</v>
      </c>
      <c r="AB75" s="2232"/>
      <c r="AC75" s="2089"/>
      <c r="AD75" s="1281">
        <v>136</v>
      </c>
      <c r="AE75" s="1281"/>
      <c r="AF75" s="1281"/>
      <c r="AG75" s="1281"/>
      <c r="AH75" s="1281"/>
      <c r="AI75" s="1281"/>
      <c r="AJ75" s="1281">
        <v>80</v>
      </c>
      <c r="AK75" s="1281"/>
      <c r="AL75" s="1281"/>
      <c r="AM75" s="1281"/>
      <c r="AN75" s="1281"/>
      <c r="AO75" s="1281"/>
      <c r="AP75" s="1281"/>
      <c r="AQ75" s="1281">
        <v>56</v>
      </c>
      <c r="AR75" s="1281"/>
      <c r="AS75" s="134"/>
      <c r="AT75" s="134"/>
      <c r="AU75" s="134"/>
      <c r="AV75" s="134"/>
    </row>
    <row r="76" spans="1:48">
      <c r="A76" s="49" t="s">
        <v>2012</v>
      </c>
      <c r="B76" s="50" t="s">
        <v>1938</v>
      </c>
      <c r="C76" s="329">
        <f>ROUND(558*Belarus*(1-D99),2)</f>
        <v>558</v>
      </c>
      <c r="D76" s="329">
        <f>ROUND(614*Belarus*(1-D99),2)</f>
        <v>614</v>
      </c>
      <c r="E76" s="329">
        <f>ROUND(645*Belarus*(1-D99),2)</f>
        <v>645</v>
      </c>
      <c r="F76" s="329">
        <f>ROUND(718*Belarus*(1-D99),2)</f>
        <v>718</v>
      </c>
      <c r="G76" s="329">
        <f>ROUND(716*Belarus*(1-D99),2)</f>
        <v>716</v>
      </c>
      <c r="H76" s="329">
        <f>ROUND(690*Belarus*(1-D99),2)</f>
        <v>690</v>
      </c>
      <c r="I76" s="329">
        <f>ROUND(698*Belarus*(1-D99),2)</f>
        <v>698</v>
      </c>
      <c r="J76" s="329">
        <f>ROUND(698*Belarus*(1-D99),2)</f>
        <v>698</v>
      </c>
      <c r="K76" s="329">
        <f>ROUND(711*Belarus*(1-D99),2)</f>
        <v>711</v>
      </c>
      <c r="L76" s="329">
        <f>ROUND(712*Belarus*(1-D99),2)</f>
        <v>712</v>
      </c>
      <c r="M76" s="329">
        <f>ROUND(766*Belarus*(1-D99),2)</f>
        <v>766</v>
      </c>
      <c r="N76" s="329">
        <f>ROUND(817*Belarus*(1-D99),2)</f>
        <v>817</v>
      </c>
      <c r="O76" s="329">
        <f>ROUND(1095*Belarus*(1-D99),2)</f>
        <v>1095</v>
      </c>
      <c r="P76" s="329">
        <f>ROUND(1167*Belarus*(1-D99),2)</f>
        <v>1167</v>
      </c>
      <c r="Q76" s="329">
        <f>ROUND(1183*Belarus*(1-D99),2)</f>
        <v>1183</v>
      </c>
      <c r="R76" s="329">
        <f>ROUND(1442*Belarus*(1-D99),2)</f>
        <v>1442</v>
      </c>
      <c r="S76" s="2221">
        <f>ROUND(1607*Belarus*(1-D99),2)</f>
        <v>1607</v>
      </c>
      <c r="T76" s="2221"/>
      <c r="U76" s="329">
        <f>ROUND(2324*Belarus*(1-D99),2)</f>
        <v>2324</v>
      </c>
      <c r="V76" s="329" t="s">
        <v>369</v>
      </c>
      <c r="W76" s="329" t="s">
        <v>369</v>
      </c>
      <c r="X76" s="76"/>
      <c r="Y76" s="2148">
        <v>150</v>
      </c>
      <c r="Z76" s="2148"/>
      <c r="AA76" s="2088">
        <v>295</v>
      </c>
      <c r="AB76" s="2232"/>
      <c r="AC76" s="2089"/>
      <c r="AD76" s="1281">
        <v>165</v>
      </c>
      <c r="AE76" s="1281"/>
      <c r="AF76" s="1281"/>
      <c r="AG76" s="1281"/>
      <c r="AH76" s="1281"/>
      <c r="AI76" s="1281"/>
      <c r="AJ76" s="1281">
        <v>100</v>
      </c>
      <c r="AK76" s="1281"/>
      <c r="AL76" s="1281"/>
      <c r="AM76" s="1281"/>
      <c r="AN76" s="1281"/>
      <c r="AO76" s="1281"/>
      <c r="AP76" s="1281"/>
      <c r="AQ76" s="1281">
        <v>62</v>
      </c>
      <c r="AR76" s="1281"/>
      <c r="AS76" s="134"/>
      <c r="AT76" s="134"/>
      <c r="AU76" s="134"/>
      <c r="AV76" s="134"/>
    </row>
    <row r="77" spans="1:48" ht="12.75" customHeight="1">
      <c r="A77" s="51" t="s">
        <v>2013</v>
      </c>
      <c r="B77" s="50" t="s">
        <v>1938</v>
      </c>
      <c r="C77" s="329">
        <f>ROUND(135*Belarus*(1-D99),2)</f>
        <v>135</v>
      </c>
      <c r="D77" s="329">
        <f>ROUND(135*Belarus*(1-D99),2)</f>
        <v>135</v>
      </c>
      <c r="E77" s="329">
        <f>ROUND(135*Belarus*(1-D99),2)</f>
        <v>135</v>
      </c>
      <c r="F77" s="329">
        <f>ROUND(137*Belarus*(1-D99),2)</f>
        <v>137</v>
      </c>
      <c r="G77" s="329">
        <f>ROUND(139*Belarus*(1-D99),2)</f>
        <v>139</v>
      </c>
      <c r="H77" s="329">
        <f>ROUND(141*Belarus*(1-D99),2)</f>
        <v>141</v>
      </c>
      <c r="I77" s="329">
        <f>ROUND(141*Belarus*(1-D99),2)</f>
        <v>141</v>
      </c>
      <c r="J77" s="329">
        <f>ROUND(144*Belarus*(1-D99),2)</f>
        <v>144</v>
      </c>
      <c r="K77" s="329">
        <f>ROUND(146*Belarus*(1-D99),2)</f>
        <v>146</v>
      </c>
      <c r="L77" s="329">
        <f>ROUND(150*Belarus*(1-D99),2)</f>
        <v>150</v>
      </c>
      <c r="M77" s="329">
        <f>ROUND(154*Belarus*(1-D99),2)</f>
        <v>154</v>
      </c>
      <c r="N77" s="329">
        <f>ROUND(160*Belarus*(1-D99),2)</f>
        <v>160</v>
      </c>
      <c r="O77" s="329">
        <f>ROUND(168*Belarus*(1-D99),2)</f>
        <v>168</v>
      </c>
      <c r="P77" s="329">
        <f>ROUND(193*Belarus*(1-D99),2)</f>
        <v>193</v>
      </c>
      <c r="Q77" s="329">
        <f>ROUND(193*Belarus*(1-D99),2)</f>
        <v>193</v>
      </c>
      <c r="R77" s="329">
        <f>ROUND(205*Belarus*(1-D99),2)</f>
        <v>205</v>
      </c>
      <c r="S77" s="2221">
        <f>ROUND(217*Belarus*(1-D99),2)</f>
        <v>217</v>
      </c>
      <c r="T77" s="2221"/>
      <c r="U77" s="329">
        <f>ROUND(255*Belarus*(1-D99),2)</f>
        <v>255</v>
      </c>
      <c r="V77" s="329">
        <f>ROUND(278*Belarus*(1-D99),2)</f>
        <v>278</v>
      </c>
      <c r="W77" s="329">
        <f>ROUND(300*Belarus*(1-D99),2)</f>
        <v>300</v>
      </c>
      <c r="X77" s="76"/>
      <c r="Y77" s="2148">
        <v>200</v>
      </c>
      <c r="Z77" s="2148"/>
      <c r="AA77" s="2088">
        <v>405</v>
      </c>
      <c r="AB77" s="2232"/>
      <c r="AC77" s="2089"/>
      <c r="AD77" s="1281">
        <v>232</v>
      </c>
      <c r="AE77" s="1281"/>
      <c r="AF77" s="1281"/>
      <c r="AG77" s="1281"/>
      <c r="AH77" s="1281"/>
      <c r="AI77" s="1281"/>
      <c r="AJ77" s="1281">
        <v>146</v>
      </c>
      <c r="AK77" s="1281"/>
      <c r="AL77" s="1281"/>
      <c r="AM77" s="1281"/>
      <c r="AN77" s="1281"/>
      <c r="AO77" s="1281"/>
      <c r="AP77" s="1281"/>
      <c r="AQ77" s="1281">
        <v>76</v>
      </c>
      <c r="AR77" s="1281"/>
      <c r="AS77" s="134"/>
      <c r="AT77" s="134"/>
      <c r="AU77" s="134"/>
      <c r="AV77" s="134"/>
    </row>
    <row r="78" spans="1:48">
      <c r="A78" s="51" t="s">
        <v>2022</v>
      </c>
      <c r="B78" s="50" t="s">
        <v>1938</v>
      </c>
      <c r="C78" s="329">
        <f>ROUND(198*Belarus*(1-D99),2)</f>
        <v>198</v>
      </c>
      <c r="D78" s="329">
        <f>ROUND(198*Belarus*(1-D99),2)</f>
        <v>198</v>
      </c>
      <c r="E78" s="329">
        <f>ROUND(198*Belarus*(1-D99),2)</f>
        <v>198</v>
      </c>
      <c r="F78" s="329">
        <f>ROUND(200*Belarus*(1-D99),2)</f>
        <v>200</v>
      </c>
      <c r="G78" s="329">
        <f>ROUND(200*Belarus*(1-D99),2)</f>
        <v>200</v>
      </c>
      <c r="H78" s="329">
        <f>ROUND(204*Belarus*(1-D99),2)</f>
        <v>204</v>
      </c>
      <c r="I78" s="329">
        <f>ROUND(204*Belarus*(1-D99),2)</f>
        <v>204</v>
      </c>
      <c r="J78" s="329">
        <f>ROUND(206*Belarus*(1-D99),2)</f>
        <v>206</v>
      </c>
      <c r="K78" s="329">
        <f>ROUND(140*Belarus*(1-D99),2)</f>
        <v>140</v>
      </c>
      <c r="L78" s="329">
        <f>ROUND(211*Belarus*(1-D99),2)</f>
        <v>211</v>
      </c>
      <c r="M78" s="329">
        <f>ROUND(214*Belarus*(1-D99),2)</f>
        <v>214</v>
      </c>
      <c r="N78" s="329">
        <f>ROUND(220*Belarus*(1-D99),2)</f>
        <v>220</v>
      </c>
      <c r="O78" s="329">
        <f>ROUND(226*Belarus*(1-D99),2)</f>
        <v>226</v>
      </c>
      <c r="P78" s="329">
        <f>ROUND(255*Belarus*(1-D99),2)</f>
        <v>255</v>
      </c>
      <c r="Q78" s="329">
        <f>ROUND(255*Belarus*(1-D99),2)</f>
        <v>255</v>
      </c>
      <c r="R78" s="329">
        <f>ROUND(265*Belarus*(1-D99),2)</f>
        <v>265</v>
      </c>
      <c r="S78" s="2221">
        <f>ROUND(276*Belarus*(1-D99),2)</f>
        <v>276</v>
      </c>
      <c r="T78" s="2221"/>
      <c r="U78" s="329">
        <f>ROUND(320*Belarus*(1-D99),2)</f>
        <v>320</v>
      </c>
      <c r="V78" s="329">
        <f>ROUND(340*Belarus*(1-D99),2)</f>
        <v>340</v>
      </c>
      <c r="W78" s="329">
        <f>ROUND(359*Belarus*(1-D99),2)</f>
        <v>359</v>
      </c>
      <c r="X78" s="76"/>
      <c r="Y78" s="2056">
        <v>210</v>
      </c>
      <c r="Z78" s="2056"/>
      <c r="AA78" s="2237">
        <v>423</v>
      </c>
      <c r="AB78" s="2238"/>
      <c r="AC78" s="2239"/>
      <c r="AD78" s="1281">
        <v>240</v>
      </c>
      <c r="AE78" s="1281"/>
      <c r="AF78" s="1281"/>
      <c r="AG78" s="1281"/>
      <c r="AH78" s="1281"/>
      <c r="AI78" s="1281"/>
      <c r="AJ78" s="1281">
        <v>151</v>
      </c>
      <c r="AK78" s="1281"/>
      <c r="AL78" s="1281"/>
      <c r="AM78" s="1281"/>
      <c r="AN78" s="1281"/>
      <c r="AO78" s="1281"/>
      <c r="AP78" s="1281"/>
      <c r="AQ78" s="1281">
        <v>79</v>
      </c>
      <c r="AR78" s="1281"/>
      <c r="AS78" s="134"/>
      <c r="AT78" s="134"/>
      <c r="AU78" s="134"/>
      <c r="AV78" s="134"/>
    </row>
    <row r="79" spans="1:48" ht="12.75" customHeight="1">
      <c r="A79" s="2222" t="s">
        <v>2024</v>
      </c>
      <c r="B79" s="50" t="s">
        <v>1940</v>
      </c>
      <c r="C79" s="329" t="s">
        <v>369</v>
      </c>
      <c r="D79" s="329" t="s">
        <v>369</v>
      </c>
      <c r="E79" s="329" t="s">
        <v>369</v>
      </c>
      <c r="F79" s="329" t="s">
        <v>369</v>
      </c>
      <c r="G79" s="329" t="s">
        <v>369</v>
      </c>
      <c r="H79" s="329" t="s">
        <v>369</v>
      </c>
      <c r="I79" s="329" t="s">
        <v>369</v>
      </c>
      <c r="J79" s="329" t="s">
        <v>369</v>
      </c>
      <c r="K79" s="329" t="s">
        <v>369</v>
      </c>
      <c r="L79" s="329" t="s">
        <v>369</v>
      </c>
      <c r="M79" s="329">
        <f>ROUND(853*Belarus*(1-D99),2)</f>
        <v>853</v>
      </c>
      <c r="N79" s="329">
        <f>ROUND(963*Belarus*(1-D99),2)</f>
        <v>963</v>
      </c>
      <c r="O79" s="329">
        <f>N79</f>
        <v>963</v>
      </c>
      <c r="P79" s="329">
        <f>N79</f>
        <v>963</v>
      </c>
      <c r="Q79" s="329" t="s">
        <v>369</v>
      </c>
      <c r="R79" s="329">
        <f>ROUND(1224*Belarus*(1-D99),2)</f>
        <v>1224</v>
      </c>
      <c r="S79" s="2221">
        <f>R79</f>
        <v>1224</v>
      </c>
      <c r="T79" s="2221"/>
      <c r="U79" s="329">
        <f>R79</f>
        <v>1224</v>
      </c>
      <c r="V79" s="329">
        <f>ROUND(1719*Belarus*(1-D99),2)</f>
        <v>1719</v>
      </c>
      <c r="W79" s="329">
        <f>V79</f>
        <v>1719</v>
      </c>
      <c r="X79" s="76"/>
      <c r="Y79" s="2056">
        <v>230</v>
      </c>
      <c r="Z79" s="2056"/>
      <c r="AA79" s="2237">
        <v>469</v>
      </c>
      <c r="AB79" s="2238"/>
      <c r="AC79" s="2239"/>
      <c r="AD79" s="1281">
        <v>270</v>
      </c>
      <c r="AE79" s="1281"/>
      <c r="AF79" s="1281"/>
      <c r="AG79" s="1281"/>
      <c r="AH79" s="1281"/>
      <c r="AI79" s="1281"/>
      <c r="AJ79" s="1281">
        <v>171</v>
      </c>
      <c r="AK79" s="1281"/>
      <c r="AL79" s="1281"/>
      <c r="AM79" s="1281"/>
      <c r="AN79" s="1281"/>
      <c r="AO79" s="1281"/>
      <c r="AP79" s="1281"/>
      <c r="AQ79" s="1281">
        <v>85</v>
      </c>
      <c r="AR79" s="1281"/>
      <c r="AS79" s="134"/>
      <c r="AT79" s="134"/>
      <c r="AU79" s="134"/>
      <c r="AV79" s="134"/>
    </row>
    <row r="80" spans="1:48">
      <c r="A80" s="2222"/>
      <c r="B80" s="50" t="s">
        <v>1938</v>
      </c>
      <c r="C80" s="329">
        <f>ROUND(1360*Belarus*(1-D99),2)</f>
        <v>1360</v>
      </c>
      <c r="D80" s="329">
        <f>C80</f>
        <v>1360</v>
      </c>
      <c r="E80" s="329">
        <f>C80</f>
        <v>1360</v>
      </c>
      <c r="F80" s="329">
        <f>C80</f>
        <v>1360</v>
      </c>
      <c r="G80" s="329">
        <f>C80</f>
        <v>1360</v>
      </c>
      <c r="H80" s="329" t="s">
        <v>369</v>
      </c>
      <c r="I80" s="329">
        <f>ROUND(2014*Belarus*(1-D99),2)</f>
        <v>2014</v>
      </c>
      <c r="J80" s="329">
        <f>I80</f>
        <v>2014</v>
      </c>
      <c r="K80" s="329">
        <f>I80</f>
        <v>2014</v>
      </c>
      <c r="L80" s="329">
        <f>I80</f>
        <v>2014</v>
      </c>
      <c r="M80" s="329">
        <f>I80</f>
        <v>2014</v>
      </c>
      <c r="N80" s="329">
        <f>ROUND(2320*Belarus*(1-D99),2)</f>
        <v>2320</v>
      </c>
      <c r="O80" s="329">
        <f>N80</f>
        <v>2320</v>
      </c>
      <c r="P80" s="329">
        <f>N80</f>
        <v>2320</v>
      </c>
      <c r="Q80" s="329">
        <f>N80</f>
        <v>2320</v>
      </c>
      <c r="R80" s="329">
        <f>ROUND(3173*Belarus*(1-D99),2)</f>
        <v>3173</v>
      </c>
      <c r="S80" s="2221">
        <f>R80</f>
        <v>3173</v>
      </c>
      <c r="T80" s="2221"/>
      <c r="U80" s="329">
        <f>R80</f>
        <v>3173</v>
      </c>
      <c r="V80" s="329">
        <f>ROUND(5675*Belarus*(1-D99),2)</f>
        <v>5675</v>
      </c>
      <c r="W80" s="329">
        <f>V80</f>
        <v>5675</v>
      </c>
      <c r="X80" s="76"/>
      <c r="Y80" s="2056">
        <v>250</v>
      </c>
      <c r="Z80" s="2056"/>
      <c r="AA80" s="2237">
        <v>515</v>
      </c>
      <c r="AB80" s="2238"/>
      <c r="AC80" s="2239"/>
      <c r="AD80" s="1281">
        <v>294</v>
      </c>
      <c r="AE80" s="1281"/>
      <c r="AF80" s="1281"/>
      <c r="AG80" s="1281"/>
      <c r="AH80" s="1281"/>
      <c r="AI80" s="1281"/>
      <c r="AJ80" s="1281">
        <v>192</v>
      </c>
      <c r="AK80" s="1281"/>
      <c r="AL80" s="1281"/>
      <c r="AM80" s="1281"/>
      <c r="AN80" s="1281"/>
      <c r="AO80" s="1281"/>
      <c r="AP80" s="1281"/>
      <c r="AQ80" s="1281">
        <v>90</v>
      </c>
      <c r="AR80" s="1281"/>
      <c r="AS80" s="134"/>
      <c r="AT80" s="134"/>
      <c r="AU80" s="134"/>
      <c r="AV80" s="134"/>
    </row>
    <row r="81" spans="1:48">
      <c r="A81" s="2222" t="s">
        <v>2026</v>
      </c>
      <c r="B81" s="50" t="s">
        <v>1940</v>
      </c>
      <c r="C81" s="329" t="s">
        <v>369</v>
      </c>
      <c r="D81" s="329" t="s">
        <v>369</v>
      </c>
      <c r="E81" s="329" t="s">
        <v>369</v>
      </c>
      <c r="F81" s="329" t="s">
        <v>369</v>
      </c>
      <c r="G81" s="329" t="s">
        <v>369</v>
      </c>
      <c r="H81" s="329" t="s">
        <v>369</v>
      </c>
      <c r="I81" s="329" t="s">
        <v>369</v>
      </c>
      <c r="J81" s="329" t="s">
        <v>369</v>
      </c>
      <c r="K81" s="329" t="s">
        <v>369</v>
      </c>
      <c r="L81" s="329" t="s">
        <v>369</v>
      </c>
      <c r="M81" s="329">
        <f>ROUND(853*Belarus*(1-D99),2)</f>
        <v>853</v>
      </c>
      <c r="N81" s="329">
        <f>ROUND(963*Belarus*(1-D99),2)</f>
        <v>963</v>
      </c>
      <c r="O81" s="329">
        <f>N81</f>
        <v>963</v>
      </c>
      <c r="P81" s="329">
        <f>N81</f>
        <v>963</v>
      </c>
      <c r="Q81" s="329" t="s">
        <v>369</v>
      </c>
      <c r="R81" s="329">
        <f>ROUND(1224*Belarus*(1-D99),2)</f>
        <v>1224</v>
      </c>
      <c r="S81" s="2221">
        <f>R81</f>
        <v>1224</v>
      </c>
      <c r="T81" s="2221"/>
      <c r="U81" s="329">
        <f>R81</f>
        <v>1224</v>
      </c>
      <c r="V81" s="329">
        <f>ROUND(1719*Belarus*(1-D99),2)</f>
        <v>1719</v>
      </c>
      <c r="W81" s="329">
        <f>V81</f>
        <v>1719</v>
      </c>
      <c r="X81" s="76"/>
      <c r="Y81" s="2056">
        <v>280</v>
      </c>
      <c r="Z81" s="2056"/>
      <c r="AA81" s="2237">
        <v>579</v>
      </c>
      <c r="AB81" s="2238"/>
      <c r="AC81" s="2239"/>
      <c r="AD81" s="1281">
        <v>337</v>
      </c>
      <c r="AE81" s="1281"/>
      <c r="AF81" s="1281"/>
      <c r="AG81" s="1281"/>
      <c r="AH81" s="1281"/>
      <c r="AI81" s="1281"/>
      <c r="AJ81" s="1281">
        <v>217</v>
      </c>
      <c r="AK81" s="1281"/>
      <c r="AL81" s="1281"/>
      <c r="AM81" s="1281"/>
      <c r="AN81" s="1281"/>
      <c r="AO81" s="1281"/>
      <c r="AP81" s="1281"/>
      <c r="AQ81" s="1281">
        <v>99</v>
      </c>
      <c r="AR81" s="1281"/>
      <c r="AS81" s="134"/>
      <c r="AT81" s="134"/>
      <c r="AU81" s="134"/>
      <c r="AV81" s="134"/>
    </row>
    <row r="82" spans="1:48">
      <c r="A82" s="2222"/>
      <c r="B82" s="50" t="s">
        <v>1938</v>
      </c>
      <c r="C82" s="329">
        <f>ROUND(1360*Belarus*(1-D99),2)</f>
        <v>1360</v>
      </c>
      <c r="D82" s="329">
        <f>C82</f>
        <v>1360</v>
      </c>
      <c r="E82" s="329">
        <f>C82</f>
        <v>1360</v>
      </c>
      <c r="F82" s="329">
        <f>C82</f>
        <v>1360</v>
      </c>
      <c r="G82" s="329">
        <f>C82</f>
        <v>1360</v>
      </c>
      <c r="H82" s="329" t="s">
        <v>369</v>
      </c>
      <c r="I82" s="329">
        <f>ROUND(2014*Belarus*(1-D99),2)</f>
        <v>2014</v>
      </c>
      <c r="J82" s="329">
        <f>I82</f>
        <v>2014</v>
      </c>
      <c r="K82" s="329">
        <f>I82</f>
        <v>2014</v>
      </c>
      <c r="L82" s="329">
        <f>I82</f>
        <v>2014</v>
      </c>
      <c r="M82" s="329">
        <f>I82</f>
        <v>2014</v>
      </c>
      <c r="N82" s="329">
        <f>ROUND(2320*Belarus*(1-D99),2)</f>
        <v>2320</v>
      </c>
      <c r="O82" s="329">
        <f>N82</f>
        <v>2320</v>
      </c>
      <c r="P82" s="329">
        <f>N82</f>
        <v>2320</v>
      </c>
      <c r="Q82" s="329" t="s">
        <v>369</v>
      </c>
      <c r="R82" s="329">
        <f>ROUND(3173*Belarus*(1-D99),2)</f>
        <v>3173</v>
      </c>
      <c r="S82" s="2221">
        <f>R82</f>
        <v>3173</v>
      </c>
      <c r="T82" s="2221"/>
      <c r="U82" s="329">
        <f>R82</f>
        <v>3173</v>
      </c>
      <c r="V82" s="329">
        <f>ROUND(5675*Belarus*(1-D99),2)</f>
        <v>5675</v>
      </c>
      <c r="W82" s="329">
        <f>V82</f>
        <v>5675</v>
      </c>
      <c r="X82" s="76"/>
      <c r="Y82" s="2056">
        <v>300</v>
      </c>
      <c r="Z82" s="2056"/>
      <c r="AA82" s="2237">
        <v>637</v>
      </c>
      <c r="AB82" s="2238"/>
      <c r="AC82" s="2239"/>
      <c r="AD82" s="1281">
        <v>378</v>
      </c>
      <c r="AE82" s="1281"/>
      <c r="AF82" s="1281"/>
      <c r="AG82" s="1281"/>
      <c r="AH82" s="1281"/>
      <c r="AI82" s="1281"/>
      <c r="AJ82" s="1281">
        <v>253</v>
      </c>
      <c r="AK82" s="1281"/>
      <c r="AL82" s="1281"/>
      <c r="AM82" s="1281"/>
      <c r="AN82" s="1281"/>
      <c r="AO82" s="1281"/>
      <c r="AP82" s="1281"/>
      <c r="AQ82" s="1281">
        <v>105</v>
      </c>
      <c r="AR82" s="1281"/>
      <c r="AS82" s="134"/>
      <c r="AT82" s="134"/>
      <c r="AU82" s="134"/>
      <c r="AV82" s="134"/>
    </row>
    <row r="83" spans="1:48">
      <c r="A83" s="2008" t="s">
        <v>2027</v>
      </c>
      <c r="B83" s="50" t="s">
        <v>1940</v>
      </c>
      <c r="C83" s="329" t="s">
        <v>369</v>
      </c>
      <c r="D83" s="329" t="s">
        <v>369</v>
      </c>
      <c r="E83" s="329" t="s">
        <v>369</v>
      </c>
      <c r="F83" s="329" t="s">
        <v>369</v>
      </c>
      <c r="G83" s="329" t="s">
        <v>369</v>
      </c>
      <c r="H83" s="329" t="s">
        <v>369</v>
      </c>
      <c r="I83" s="329" t="s">
        <v>369</v>
      </c>
      <c r="J83" s="329" t="s">
        <v>369</v>
      </c>
      <c r="K83" s="329" t="s">
        <v>369</v>
      </c>
      <c r="L83" s="329" t="s">
        <v>369</v>
      </c>
      <c r="M83" s="329" t="s">
        <v>369</v>
      </c>
      <c r="N83" s="329" t="s">
        <v>369</v>
      </c>
      <c r="O83" s="329">
        <f>ROUND(170*Belarus*(1-D99),2)</f>
        <v>170</v>
      </c>
      <c r="P83" s="329">
        <f>ROUND(170*Belarus*(1-D99),2)</f>
        <v>170</v>
      </c>
      <c r="Q83" s="329" t="s">
        <v>369</v>
      </c>
      <c r="R83" s="329">
        <f>ROUND(216*Belarus*(1-D99),2)</f>
        <v>216</v>
      </c>
      <c r="S83" s="2221">
        <f>ROUND(216*Belarus*(1-D99),2)</f>
        <v>216</v>
      </c>
      <c r="T83" s="2221"/>
      <c r="U83" s="329" t="s">
        <v>369</v>
      </c>
      <c r="V83" s="329">
        <f>ROUND(216*Belarus*(1-D99),2)</f>
        <v>216</v>
      </c>
      <c r="W83" s="329" t="s">
        <v>369</v>
      </c>
      <c r="X83" s="76"/>
      <c r="Y83" s="2056">
        <v>350</v>
      </c>
      <c r="Z83" s="2056"/>
      <c r="AA83" s="2237">
        <v>748</v>
      </c>
      <c r="AB83" s="2238"/>
      <c r="AC83" s="2239"/>
      <c r="AD83" s="1281">
        <v>446</v>
      </c>
      <c r="AE83" s="1281"/>
      <c r="AF83" s="1281"/>
      <c r="AG83" s="1281"/>
      <c r="AH83" s="1281"/>
      <c r="AI83" s="1281"/>
      <c r="AJ83" s="1281">
        <v>294</v>
      </c>
      <c r="AK83" s="1281"/>
      <c r="AL83" s="1281"/>
      <c r="AM83" s="1281"/>
      <c r="AN83" s="1281"/>
      <c r="AO83" s="1281"/>
      <c r="AP83" s="1281"/>
      <c r="AQ83" s="1281">
        <v>119</v>
      </c>
      <c r="AR83" s="1281"/>
      <c r="AS83" s="134"/>
      <c r="AT83" s="134"/>
      <c r="AU83" s="134"/>
      <c r="AV83" s="134"/>
    </row>
    <row r="84" spans="1:48">
      <c r="A84" s="2008"/>
      <c r="B84" s="50" t="s">
        <v>1938</v>
      </c>
      <c r="C84" s="329">
        <f>ROUND(240*Belarus*(1-D99),2)</f>
        <v>240</v>
      </c>
      <c r="D84" s="329">
        <f>ROUND(240*Belarus*(1-D99),2)</f>
        <v>240</v>
      </c>
      <c r="E84" s="329">
        <f>ROUND(240*Belarus*(1-D99),2)</f>
        <v>240</v>
      </c>
      <c r="F84" s="329">
        <f>ROUND(240*Belarus*(1-D99),2)</f>
        <v>240</v>
      </c>
      <c r="G84" s="329">
        <f>ROUND(240*Belarus*(1-D99),2)</f>
        <v>240</v>
      </c>
      <c r="H84" s="329" t="s">
        <v>369</v>
      </c>
      <c r="I84" s="329">
        <f>ROUND(355*Belarus*(1-D99),2)</f>
        <v>355</v>
      </c>
      <c r="J84" s="329" t="s">
        <v>369</v>
      </c>
      <c r="K84" s="329">
        <f>ROUND(355*Belarus*(1-D99),2)</f>
        <v>355</v>
      </c>
      <c r="L84" s="329">
        <f>ROUND(355*Belarus*(1-D99),2)</f>
        <v>355</v>
      </c>
      <c r="M84" s="329">
        <f>ROUND(355*Belarus*(1-D99),2)</f>
        <v>355</v>
      </c>
      <c r="N84" s="329">
        <f>ROUND(410*Belarus*(1-D99),2)</f>
        <v>410</v>
      </c>
      <c r="O84" s="329">
        <f>ROUND(410*Belarus*(1-D99),2)</f>
        <v>410</v>
      </c>
      <c r="P84" s="329">
        <f>ROUND(410*Belarus*(1-D99),2)</f>
        <v>410</v>
      </c>
      <c r="Q84" s="329" t="s">
        <v>369</v>
      </c>
      <c r="R84" s="329">
        <f>ROUND(560*Belarus*(1-D99),2)</f>
        <v>560</v>
      </c>
      <c r="S84" s="2221">
        <f>ROUND(560*Belarus*(1-D99),2)</f>
        <v>560</v>
      </c>
      <c r="T84" s="2221"/>
      <c r="U84" s="329">
        <f>ROUND(560*Belarus*(1-D99),2)</f>
        <v>560</v>
      </c>
      <c r="V84" s="329">
        <f>ROUND(1002*Belarus*(1-D99),2)</f>
        <v>1002</v>
      </c>
      <c r="W84" s="329">
        <f>ROUND(1002*Belarus*(1-D99),2)</f>
        <v>1002</v>
      </c>
      <c r="X84" s="76"/>
      <c r="Y84" s="2056">
        <v>400</v>
      </c>
      <c r="Z84" s="2056"/>
      <c r="AA84" s="2237">
        <v>881</v>
      </c>
      <c r="AB84" s="2238"/>
      <c r="AC84" s="2239"/>
      <c r="AD84" s="1281">
        <v>536</v>
      </c>
      <c r="AE84" s="1281"/>
      <c r="AF84" s="1281"/>
      <c r="AG84" s="1281"/>
      <c r="AH84" s="1281"/>
      <c r="AI84" s="1281"/>
      <c r="AJ84" s="1281">
        <v>363</v>
      </c>
      <c r="AK84" s="1281"/>
      <c r="AL84" s="1281"/>
      <c r="AM84" s="1281"/>
      <c r="AN84" s="1281"/>
      <c r="AO84" s="1281"/>
      <c r="AP84" s="1281"/>
      <c r="AQ84" s="1281">
        <v>133</v>
      </c>
      <c r="AR84" s="1281"/>
      <c r="AS84" s="134"/>
      <c r="AT84" s="134"/>
      <c r="AU84" s="134"/>
      <c r="AV84" s="134"/>
    </row>
    <row r="85" spans="1:48">
      <c r="A85" s="49" t="s">
        <v>2028</v>
      </c>
      <c r="B85" s="50" t="s">
        <v>1938</v>
      </c>
      <c r="C85" s="329">
        <f>ROUND(177*Belarus*(1-D99),2)</f>
        <v>177</v>
      </c>
      <c r="D85" s="2221">
        <f>ROUND(201*Belarus*(1-D99),2)</f>
        <v>201</v>
      </c>
      <c r="E85" s="2221"/>
      <c r="F85" s="2221">
        <f>ROUND(229*Belarus*(1-D99),2)</f>
        <v>229</v>
      </c>
      <c r="G85" s="2221"/>
      <c r="H85" s="2221">
        <f>ROUND(283*Belarus*(1-D99),2)</f>
        <v>283</v>
      </c>
      <c r="I85" s="2221"/>
      <c r="J85" s="2221">
        <f>ROUND(283*Belarus*(1-D99),2)</f>
        <v>283</v>
      </c>
      <c r="K85" s="2221"/>
      <c r="L85" s="329">
        <f>ROUND(289*Belarus*(1-D99),2)</f>
        <v>289</v>
      </c>
      <c r="M85" s="2221">
        <f>ROUND(329*Belarus*(1-D99),2)</f>
        <v>329</v>
      </c>
      <c r="N85" s="2221"/>
      <c r="O85" s="329">
        <f>ROUND(488*Belarus*(1-D99),2)</f>
        <v>488</v>
      </c>
      <c r="P85" s="329" t="s">
        <v>369</v>
      </c>
      <c r="Q85" s="329" t="s">
        <v>369</v>
      </c>
      <c r="R85" s="329">
        <f>ROUND(964*Belarus*(1-D99),2)</f>
        <v>964</v>
      </c>
      <c r="S85" s="2221" t="s">
        <v>369</v>
      </c>
      <c r="T85" s="2221"/>
      <c r="U85" s="329">
        <f>ROUND(973*Belarus*(1-D99),2)</f>
        <v>973</v>
      </c>
      <c r="V85" s="329">
        <f>ROUND(1283*Belarus*(1-D99),2)</f>
        <v>1283</v>
      </c>
      <c r="W85" s="329">
        <f>ROUND(1246*Belarus*(1-D99),2)</f>
        <v>1246</v>
      </c>
      <c r="X85" s="76"/>
      <c r="Y85" s="2240" t="s">
        <v>6555</v>
      </c>
      <c r="Z85" s="2241"/>
      <c r="AA85" s="2241"/>
      <c r="AB85" s="2241"/>
      <c r="AC85" s="2241"/>
      <c r="AD85" s="2241"/>
      <c r="AE85" s="2241"/>
      <c r="AF85" s="2241"/>
      <c r="AG85" s="2241"/>
      <c r="AH85" s="2241"/>
      <c r="AI85" s="2241"/>
      <c r="AJ85" s="2241"/>
      <c r="AK85" s="2241"/>
      <c r="AL85" s="2241"/>
      <c r="AM85" s="2241"/>
      <c r="AN85" s="2241"/>
      <c r="AO85" s="2241"/>
      <c r="AP85" s="2241"/>
      <c r="AQ85" s="2241"/>
      <c r="AR85" s="2242"/>
      <c r="AS85" s="134"/>
      <c r="AT85" s="134"/>
      <c r="AU85" s="134"/>
      <c r="AV85" s="134"/>
    </row>
    <row r="86" spans="1:48">
      <c r="A86" s="811"/>
      <c r="B86" s="23"/>
      <c r="C86" s="960"/>
      <c r="D86" s="960"/>
      <c r="E86" s="960"/>
      <c r="F86" s="960"/>
      <c r="G86" s="960"/>
      <c r="H86" s="960"/>
      <c r="I86" s="960"/>
      <c r="J86" s="960"/>
      <c r="K86" s="960"/>
      <c r="L86" s="960"/>
      <c r="M86" s="960"/>
      <c r="N86" s="960"/>
      <c r="O86" s="960"/>
      <c r="P86" s="960"/>
      <c r="Q86" s="960"/>
      <c r="R86" s="960"/>
      <c r="T86" s="652"/>
      <c r="U86" s="652"/>
      <c r="V86" s="652"/>
      <c r="W86" s="652"/>
      <c r="X86" s="831"/>
      <c r="Y86" s="831"/>
      <c r="Z86" s="831"/>
      <c r="AA86" s="831"/>
      <c r="AB86" s="959"/>
      <c r="AC86" s="76"/>
      <c r="AD86" s="134"/>
      <c r="AE86" s="134"/>
      <c r="AF86" s="134"/>
      <c r="AG86" s="134"/>
      <c r="AH86" s="134"/>
      <c r="AI86" s="134"/>
      <c r="AJ86" s="134"/>
      <c r="AK86" s="134"/>
      <c r="AL86" s="134"/>
      <c r="AM86" s="134"/>
      <c r="AN86" s="134"/>
      <c r="AO86" s="134"/>
      <c r="AP86" s="134"/>
      <c r="AQ86" s="134"/>
      <c r="AR86" s="134"/>
      <c r="AS86" s="134"/>
      <c r="AT86" s="134"/>
      <c r="AU86" s="134"/>
      <c r="AV86" s="134"/>
    </row>
    <row r="87" spans="1:48" ht="15">
      <c r="A87" s="1798" t="s">
        <v>2029</v>
      </c>
      <c r="B87" s="1798"/>
      <c r="C87" s="1798"/>
      <c r="D87" s="1798"/>
      <c r="E87" s="1798"/>
      <c r="F87" s="1798"/>
      <c r="G87" s="1798"/>
      <c r="H87" s="1798"/>
      <c r="I87" s="1798"/>
      <c r="J87" s="1798"/>
      <c r="K87" s="1798"/>
      <c r="L87" s="1798"/>
      <c r="M87" s="1798"/>
      <c r="N87" s="1798"/>
      <c r="O87" s="1798"/>
      <c r="P87" s="1798"/>
      <c r="Q87" s="1798"/>
      <c r="R87" s="1798"/>
      <c r="S87" s="1798"/>
      <c r="T87" s="1798"/>
      <c r="U87" s="1798"/>
      <c r="V87" s="1798"/>
      <c r="W87" s="1798"/>
      <c r="X87" s="958"/>
      <c r="Y87" s="2243" t="s">
        <v>420</v>
      </c>
      <c r="Z87" s="2243"/>
      <c r="AA87" s="2243"/>
      <c r="AB87" s="2243"/>
      <c r="AC87" s="2243"/>
      <c r="AD87" s="2243"/>
      <c r="AE87" s="2243"/>
      <c r="AF87" s="2243"/>
      <c r="AG87" s="2243"/>
      <c r="AH87" s="2243"/>
      <c r="AI87" s="2243"/>
      <c r="AJ87" s="2243"/>
      <c r="AK87" s="2243"/>
      <c r="AL87" s="2243"/>
      <c r="AM87" s="2243"/>
      <c r="AN87" s="2243"/>
      <c r="AO87" s="2243"/>
      <c r="AP87" s="2243"/>
      <c r="AQ87" s="2243"/>
      <c r="AR87" s="2243"/>
      <c r="AS87" s="134"/>
      <c r="AT87" s="134"/>
      <c r="AU87" s="134"/>
      <c r="AV87" s="134"/>
    </row>
    <row r="88" spans="1:48">
      <c r="A88" s="1629" t="s">
        <v>1994</v>
      </c>
      <c r="B88" s="1629"/>
      <c r="C88" s="1277" t="s">
        <v>1494</v>
      </c>
      <c r="D88" s="1277"/>
      <c r="E88" s="1277"/>
      <c r="F88" s="1277"/>
      <c r="G88" s="1277"/>
      <c r="H88" s="1277"/>
      <c r="I88" s="1277"/>
      <c r="J88" s="1277"/>
      <c r="K88" s="1277"/>
      <c r="L88" s="1277"/>
      <c r="M88" s="1277"/>
      <c r="N88" s="1277"/>
      <c r="O88" s="1277"/>
      <c r="P88" s="1277"/>
      <c r="Q88" s="1277"/>
      <c r="R88" s="1277"/>
      <c r="S88" s="1277"/>
      <c r="T88" s="1277"/>
      <c r="U88" s="1277"/>
      <c r="V88" s="1277"/>
      <c r="W88" s="1277"/>
      <c r="X88" s="831"/>
      <c r="Y88" s="2008" t="s">
        <v>2034</v>
      </c>
      <c r="Z88" s="2008"/>
      <c r="AA88" s="2008"/>
      <c r="AB88" s="2008"/>
      <c r="AC88" s="2008"/>
      <c r="AD88" s="2008"/>
      <c r="AE88" s="2008"/>
      <c r="AF88" s="2008"/>
      <c r="AG88" s="2008"/>
      <c r="AH88" s="2008"/>
      <c r="AI88" s="2008"/>
      <c r="AJ88" s="2008"/>
      <c r="AK88" s="2008"/>
      <c r="AL88" s="2008"/>
      <c r="AM88" s="2008"/>
      <c r="AN88" s="2008"/>
      <c r="AO88" s="2008"/>
      <c r="AP88" s="2008"/>
      <c r="AQ88" s="2008"/>
      <c r="AR88" s="2008"/>
      <c r="AS88" s="134"/>
      <c r="AT88" s="134"/>
      <c r="AU88" s="134"/>
      <c r="AV88" s="134"/>
    </row>
    <row r="89" spans="1:48">
      <c r="A89" s="1629" t="s">
        <v>2030</v>
      </c>
      <c r="B89" s="1629"/>
      <c r="C89" s="47">
        <v>80</v>
      </c>
      <c r="D89" s="47">
        <v>100</v>
      </c>
      <c r="E89" s="47">
        <v>110</v>
      </c>
      <c r="F89" s="47">
        <v>115</v>
      </c>
      <c r="G89" s="47">
        <v>120</v>
      </c>
      <c r="H89" s="47">
        <v>125</v>
      </c>
      <c r="I89" s="47">
        <v>130</v>
      </c>
      <c r="J89" s="47">
        <v>135</v>
      </c>
      <c r="K89" s="47">
        <v>140</v>
      </c>
      <c r="L89" s="47">
        <v>150</v>
      </c>
      <c r="M89" s="47">
        <v>160</v>
      </c>
      <c r="N89" s="47">
        <v>180</v>
      </c>
      <c r="O89" s="47">
        <v>200</v>
      </c>
      <c r="P89" s="47">
        <v>210</v>
      </c>
      <c r="Q89" s="47">
        <v>220</v>
      </c>
      <c r="R89" s="47">
        <v>250</v>
      </c>
      <c r="S89" s="1277">
        <v>280</v>
      </c>
      <c r="T89" s="1277"/>
      <c r="U89" s="47">
        <v>300</v>
      </c>
      <c r="V89" s="1277">
        <v>350</v>
      </c>
      <c r="W89" s="1277"/>
      <c r="X89" s="959"/>
      <c r="Y89" s="2008"/>
      <c r="Z89" s="2008"/>
      <c r="AA89" s="2008"/>
      <c r="AB89" s="2008"/>
      <c r="AC89" s="2008"/>
      <c r="AD89" s="2008"/>
      <c r="AE89" s="2008"/>
      <c r="AF89" s="2008"/>
      <c r="AG89" s="2008"/>
      <c r="AH89" s="2008"/>
      <c r="AI89" s="2008"/>
      <c r="AJ89" s="2008"/>
      <c r="AK89" s="2008"/>
      <c r="AL89" s="2008"/>
      <c r="AM89" s="2008"/>
      <c r="AN89" s="2008"/>
      <c r="AO89" s="2008"/>
      <c r="AP89" s="2008"/>
      <c r="AQ89" s="2008"/>
      <c r="AR89" s="2008"/>
      <c r="AS89" s="134"/>
      <c r="AT89" s="134"/>
      <c r="AU89" s="134"/>
      <c r="AV89" s="134"/>
    </row>
    <row r="90" spans="1:48">
      <c r="A90" s="2008" t="s">
        <v>2031</v>
      </c>
      <c r="B90" s="2008"/>
      <c r="C90" s="329">
        <f>ROUND(725*Belarus*(1-D99),2)</f>
        <v>725</v>
      </c>
      <c r="D90" s="329">
        <f>C90</f>
        <v>725</v>
      </c>
      <c r="E90" s="329">
        <f>C90</f>
        <v>725</v>
      </c>
      <c r="F90" s="329">
        <f>C90</f>
        <v>725</v>
      </c>
      <c r="G90" s="329">
        <f>C90</f>
        <v>725</v>
      </c>
      <c r="H90" s="329">
        <f>C90</f>
        <v>725</v>
      </c>
      <c r="I90" s="329">
        <f>C90</f>
        <v>725</v>
      </c>
      <c r="J90" s="329">
        <f>C90</f>
        <v>725</v>
      </c>
      <c r="K90" s="329">
        <f>C90</f>
        <v>725</v>
      </c>
      <c r="L90" s="329">
        <f>C90</f>
        <v>725</v>
      </c>
      <c r="M90" s="329">
        <f>C90</f>
        <v>725</v>
      </c>
      <c r="N90" s="329">
        <f>C90</f>
        <v>725</v>
      </c>
      <c r="O90" s="329">
        <f>C90</f>
        <v>725</v>
      </c>
      <c r="P90" s="329">
        <f>ROUND(997*Belarus*(1-D99),2)</f>
        <v>997</v>
      </c>
      <c r="Q90" s="329">
        <f>P90</f>
        <v>997</v>
      </c>
      <c r="R90" s="329">
        <f>P90</f>
        <v>997</v>
      </c>
      <c r="S90" s="2221">
        <f>P90</f>
        <v>997</v>
      </c>
      <c r="T90" s="2221"/>
      <c r="U90" s="329">
        <f>P90</f>
        <v>997</v>
      </c>
      <c r="V90" s="2221">
        <f>P90</f>
        <v>997</v>
      </c>
      <c r="W90" s="2221"/>
      <c r="X90" s="76"/>
      <c r="Y90" s="2008"/>
      <c r="Z90" s="2008"/>
      <c r="AA90" s="2008"/>
      <c r="AB90" s="2008"/>
      <c r="AC90" s="2008"/>
      <c r="AD90" s="2008"/>
      <c r="AE90" s="2008"/>
      <c r="AF90" s="2008"/>
      <c r="AG90" s="2008"/>
      <c r="AH90" s="2008"/>
      <c r="AI90" s="2008"/>
      <c r="AJ90" s="2008"/>
      <c r="AK90" s="2008"/>
      <c r="AL90" s="2008"/>
      <c r="AM90" s="2008"/>
      <c r="AN90" s="2008"/>
      <c r="AO90" s="2008"/>
      <c r="AP90" s="2008"/>
      <c r="AQ90" s="2008"/>
      <c r="AR90" s="2008"/>
      <c r="AS90" s="134"/>
      <c r="AT90" s="134"/>
      <c r="AU90" s="134"/>
      <c r="AV90" s="134"/>
    </row>
    <row r="91" spans="1:48">
      <c r="A91" s="2008" t="s">
        <v>2032</v>
      </c>
      <c r="B91" s="2008"/>
      <c r="C91" s="329">
        <f>ROUND(996*Belarus*(1-D99),2)</f>
        <v>996</v>
      </c>
      <c r="D91" s="329">
        <f>C91</f>
        <v>996</v>
      </c>
      <c r="E91" s="329">
        <f>C91</f>
        <v>996</v>
      </c>
      <c r="F91" s="329">
        <f>C91</f>
        <v>996</v>
      </c>
      <c r="G91" s="329">
        <f>C91</f>
        <v>996</v>
      </c>
      <c r="H91" s="329">
        <f>ROUND(1034*Belarus*(1-D99),2)</f>
        <v>1034</v>
      </c>
      <c r="I91" s="329">
        <f>H91</f>
        <v>1034</v>
      </c>
      <c r="J91" s="329">
        <f>H91</f>
        <v>1034</v>
      </c>
      <c r="K91" s="329">
        <f>H91</f>
        <v>1034</v>
      </c>
      <c r="L91" s="329">
        <f>ROUND(1373*Belarus*(1-D99),2)</f>
        <v>1373</v>
      </c>
      <c r="M91" s="329">
        <f>L91</f>
        <v>1373</v>
      </c>
      <c r="N91" s="329">
        <f>L91</f>
        <v>1373</v>
      </c>
      <c r="O91" s="329">
        <f>ROUND(1396*Belarus*(1-D99),2)</f>
        <v>1396</v>
      </c>
      <c r="P91" s="329">
        <f>O91</f>
        <v>1396</v>
      </c>
      <c r="Q91" s="329">
        <f>O91</f>
        <v>1396</v>
      </c>
      <c r="R91" s="329">
        <f>O91</f>
        <v>1396</v>
      </c>
      <c r="S91" s="2221">
        <f>O91</f>
        <v>1396</v>
      </c>
      <c r="T91" s="2221"/>
      <c r="U91" s="329">
        <f>ROUND(1909*Belarus*(1-D99),2)</f>
        <v>1909</v>
      </c>
      <c r="V91" s="2221">
        <f>ROUND(1916*Belarus*(1-D99),2)</f>
        <v>1916</v>
      </c>
      <c r="W91" s="2221"/>
      <c r="X91" s="76"/>
      <c r="Y91" s="2222" t="s">
        <v>2036</v>
      </c>
      <c r="Z91" s="2222"/>
      <c r="AA91" s="2222"/>
      <c r="AB91" s="2222"/>
      <c r="AC91" s="2222"/>
      <c r="AD91" s="2222"/>
      <c r="AE91" s="2222"/>
      <c r="AF91" s="2222"/>
      <c r="AG91" s="2222"/>
      <c r="AH91" s="2222"/>
      <c r="AI91" s="2222"/>
      <c r="AJ91" s="2222"/>
      <c r="AK91" s="2222"/>
      <c r="AL91" s="2222"/>
      <c r="AM91" s="2222"/>
      <c r="AN91" s="2222"/>
      <c r="AO91" s="2222"/>
      <c r="AP91" s="2222"/>
      <c r="AQ91" s="2222"/>
      <c r="AR91" s="2222"/>
      <c r="AS91" s="134"/>
      <c r="AT91" s="134"/>
      <c r="AU91" s="134"/>
      <c r="AV91" s="134"/>
    </row>
    <row r="92" spans="1:48">
      <c r="A92" s="2008" t="s">
        <v>2033</v>
      </c>
      <c r="B92" s="2008"/>
      <c r="C92" s="329" t="s">
        <v>369</v>
      </c>
      <c r="D92" s="329" t="s">
        <v>369</v>
      </c>
      <c r="E92" s="329" t="s">
        <v>369</v>
      </c>
      <c r="F92" s="329" t="s">
        <v>369</v>
      </c>
      <c r="G92" s="329" t="s">
        <v>369</v>
      </c>
      <c r="H92" s="329" t="s">
        <v>369</v>
      </c>
      <c r="I92" s="329" t="s">
        <v>369</v>
      </c>
      <c r="J92" s="329" t="s">
        <v>369</v>
      </c>
      <c r="K92" s="329" t="s">
        <v>369</v>
      </c>
      <c r="L92" s="329" t="s">
        <v>369</v>
      </c>
      <c r="M92" s="329" t="s">
        <v>369</v>
      </c>
      <c r="N92" s="329" t="s">
        <v>369</v>
      </c>
      <c r="O92" s="329">
        <f>ROUND(2171*Belarus*(1-D99),2)</f>
        <v>2171</v>
      </c>
      <c r="P92" s="329">
        <f>O92</f>
        <v>2171</v>
      </c>
      <c r="Q92" s="329">
        <f>ROUND(2848*Belarus*(1-D99),2)</f>
        <v>2848</v>
      </c>
      <c r="R92" s="329">
        <f>Q92</f>
        <v>2848</v>
      </c>
      <c r="S92" s="2221">
        <f>Q92</f>
        <v>2848</v>
      </c>
      <c r="T92" s="2221"/>
      <c r="U92" s="329" t="s">
        <v>369</v>
      </c>
      <c r="V92" s="2221" t="s">
        <v>369</v>
      </c>
      <c r="W92" s="2221"/>
      <c r="X92" s="76"/>
      <c r="Y92" s="2222" t="s">
        <v>2037</v>
      </c>
      <c r="Z92" s="2222"/>
      <c r="AA92" s="2222"/>
      <c r="AB92" s="2222"/>
      <c r="AC92" s="2222"/>
      <c r="AD92" s="2222"/>
      <c r="AE92" s="2222"/>
      <c r="AF92" s="2222"/>
      <c r="AG92" s="2222"/>
      <c r="AH92" s="2222"/>
      <c r="AI92" s="2222"/>
      <c r="AJ92" s="2222"/>
      <c r="AK92" s="2222"/>
      <c r="AL92" s="2222"/>
      <c r="AM92" s="2222"/>
      <c r="AN92" s="2222"/>
      <c r="AO92" s="2222"/>
      <c r="AP92" s="2222"/>
      <c r="AQ92" s="2222"/>
      <c r="AR92" s="2222"/>
      <c r="AS92" s="134"/>
      <c r="AT92" s="134"/>
      <c r="AU92" s="134"/>
      <c r="AV92" s="134"/>
    </row>
    <row r="93" spans="1:48">
      <c r="A93" s="2008" t="s">
        <v>2035</v>
      </c>
      <c r="B93" s="2008"/>
      <c r="C93" s="1348">
        <f>ROUND(1100*Belarus*(1-D99),2)</f>
        <v>1100</v>
      </c>
      <c r="D93" s="1349"/>
      <c r="E93" s="1349"/>
      <c r="F93" s="1349"/>
      <c r="G93" s="1349"/>
      <c r="H93" s="1349"/>
      <c r="I93" s="1349"/>
      <c r="J93" s="1349"/>
      <c r="K93" s="1349"/>
      <c r="L93" s="1349"/>
      <c r="M93" s="1349"/>
      <c r="N93" s="1349"/>
      <c r="O93" s="1349"/>
      <c r="P93" s="1349"/>
      <c r="Q93" s="1349"/>
      <c r="R93" s="1349"/>
      <c r="S93" s="1349"/>
      <c r="T93" s="1349"/>
      <c r="U93" s="1349"/>
      <c r="V93" s="1349"/>
      <c r="W93" s="1350"/>
      <c r="X93" s="76"/>
      <c r="Y93" s="2222" t="s">
        <v>2038</v>
      </c>
      <c r="Z93" s="2222"/>
      <c r="AA93" s="2222"/>
      <c r="AB93" s="2222"/>
      <c r="AC93" s="2222"/>
      <c r="AD93" s="2222"/>
      <c r="AE93" s="2222"/>
      <c r="AF93" s="2222"/>
      <c r="AG93" s="2222"/>
      <c r="AH93" s="2222"/>
      <c r="AI93" s="2222"/>
      <c r="AJ93" s="2222"/>
      <c r="AK93" s="2222"/>
      <c r="AL93" s="2222"/>
      <c r="AM93" s="2222"/>
      <c r="AN93" s="2222"/>
      <c r="AO93" s="2222"/>
      <c r="AP93" s="2222"/>
      <c r="AQ93" s="2222"/>
      <c r="AR93" s="2222"/>
      <c r="AS93" s="134"/>
      <c r="AT93" s="134"/>
      <c r="AU93" s="134"/>
      <c r="AV93" s="134"/>
    </row>
    <row r="94" spans="1:48">
      <c r="A94" s="811"/>
      <c r="B94" s="23"/>
      <c r="C94" s="960"/>
      <c r="D94" s="960"/>
      <c r="E94" s="960"/>
      <c r="F94" s="960"/>
      <c r="G94" s="960"/>
      <c r="H94" s="960"/>
      <c r="I94" s="960"/>
      <c r="J94" s="960"/>
      <c r="K94" s="960"/>
      <c r="L94" s="960"/>
      <c r="M94" s="960"/>
      <c r="N94" s="960"/>
      <c r="O94" s="960"/>
      <c r="P94" s="960"/>
      <c r="Q94" s="960"/>
      <c r="R94" s="960"/>
      <c r="T94" s="652"/>
      <c r="U94" s="652"/>
      <c r="V94" s="652"/>
      <c r="W94" s="652"/>
      <c r="X94" s="831"/>
      <c r="Y94" s="831"/>
      <c r="Z94" s="831"/>
      <c r="AA94" s="831"/>
      <c r="AB94" s="959"/>
      <c r="AC94" s="76"/>
      <c r="AD94" s="76"/>
      <c r="AE94" s="134"/>
      <c r="AF94" s="134"/>
      <c r="AG94" s="134"/>
      <c r="AH94" s="134"/>
      <c r="AI94" s="134"/>
      <c r="AJ94" s="134"/>
      <c r="AK94" s="134"/>
      <c r="AL94" s="134"/>
      <c r="AM94" s="134"/>
      <c r="AN94" s="134"/>
      <c r="AO94" s="134"/>
      <c r="AP94" s="134"/>
      <c r="AQ94" s="134"/>
      <c r="AR94" s="134"/>
      <c r="AS94" s="134"/>
      <c r="AT94" s="134"/>
      <c r="AU94" s="134"/>
      <c r="AV94" s="134"/>
    </row>
    <row r="95" spans="1:48">
      <c r="A95" s="811"/>
      <c r="B95" s="23"/>
      <c r="C95" s="960"/>
      <c r="D95" s="960"/>
      <c r="E95" s="960"/>
      <c r="F95" s="960"/>
      <c r="G95" s="960"/>
      <c r="H95" s="960"/>
      <c r="I95" s="960"/>
      <c r="J95" s="960"/>
      <c r="K95" s="960"/>
      <c r="L95" s="960"/>
      <c r="M95" s="960"/>
      <c r="N95" s="960"/>
      <c r="O95" s="960"/>
      <c r="P95" s="960"/>
      <c r="Q95" s="960"/>
      <c r="R95" s="960"/>
      <c r="T95" s="652"/>
      <c r="U95" s="652"/>
      <c r="V95" s="652"/>
      <c r="W95" s="652"/>
      <c r="X95" s="831"/>
      <c r="Y95" s="831"/>
      <c r="Z95" s="831"/>
      <c r="AA95" s="831"/>
      <c r="AB95" s="959"/>
      <c r="AC95" s="76"/>
      <c r="AD95" s="76"/>
      <c r="AE95" s="134"/>
      <c r="AF95" s="134"/>
      <c r="AG95" s="134"/>
      <c r="AH95" s="134"/>
      <c r="AI95" s="134"/>
      <c r="AJ95" s="134"/>
      <c r="AK95" s="134"/>
      <c r="AL95" s="134"/>
      <c r="AM95" s="134"/>
      <c r="AN95" s="134"/>
      <c r="AO95" s="134"/>
      <c r="AP95" s="134"/>
      <c r="AQ95" s="134"/>
      <c r="AR95" s="134"/>
      <c r="AS95" s="134"/>
      <c r="AT95" s="134"/>
      <c r="AU95" s="134"/>
      <c r="AV95" s="134"/>
    </row>
    <row r="96" spans="1:48">
      <c r="Z96" s="313"/>
      <c r="AD96" s="313"/>
      <c r="AJ96" s="313"/>
    </row>
    <row r="97" spans="1:6" ht="15" customHeight="1"/>
    <row r="98" spans="1:6">
      <c r="A98" s="1595" t="s">
        <v>1835</v>
      </c>
      <c r="B98" s="1595"/>
      <c r="C98" s="1595"/>
      <c r="D98" s="2244" t="s">
        <v>112</v>
      </c>
      <c r="E98" s="2245"/>
      <c r="F98" s="2246"/>
    </row>
    <row r="99" spans="1:6">
      <c r="A99" s="1595"/>
      <c r="B99" s="1595"/>
      <c r="C99" s="1595"/>
      <c r="D99" s="1661">
        <v>0</v>
      </c>
      <c r="E99" s="1669"/>
      <c r="F99" s="1662"/>
    </row>
  </sheetData>
  <mergeCells count="345">
    <mergeCell ref="A98:C99"/>
    <mergeCell ref="D98:F98"/>
    <mergeCell ref="D99:F99"/>
    <mergeCell ref="A92:B92"/>
    <mergeCell ref="S92:T92"/>
    <mergeCell ref="V92:W92"/>
    <mergeCell ref="Y92:AR92"/>
    <mergeCell ref="A93:B93"/>
    <mergeCell ref="C93:W93"/>
    <mergeCell ref="Y93:AR93"/>
    <mergeCell ref="S90:T90"/>
    <mergeCell ref="V90:W90"/>
    <mergeCell ref="A91:B91"/>
    <mergeCell ref="S91:T91"/>
    <mergeCell ref="V91:W91"/>
    <mergeCell ref="Y91:AR91"/>
    <mergeCell ref="Y85:AR85"/>
    <mergeCell ref="A87:W87"/>
    <mergeCell ref="Y87:AR87"/>
    <mergeCell ref="A88:B88"/>
    <mergeCell ref="C88:W88"/>
    <mergeCell ref="Y88:AR90"/>
    <mergeCell ref="A89:B89"/>
    <mergeCell ref="S89:T89"/>
    <mergeCell ref="V89:W89"/>
    <mergeCell ref="A90:B90"/>
    <mergeCell ref="D85:E85"/>
    <mergeCell ref="F85:G85"/>
    <mergeCell ref="H85:I85"/>
    <mergeCell ref="J85:K85"/>
    <mergeCell ref="M85:N85"/>
    <mergeCell ref="S85:T85"/>
    <mergeCell ref="AQ83:AR83"/>
    <mergeCell ref="S84:T84"/>
    <mergeCell ref="Y84:Z84"/>
    <mergeCell ref="AA84:AC84"/>
    <mergeCell ref="AD84:AI84"/>
    <mergeCell ref="AJ84:AP84"/>
    <mergeCell ref="AQ84:AR84"/>
    <mergeCell ref="A83:A84"/>
    <mergeCell ref="S83:T83"/>
    <mergeCell ref="Y83:Z83"/>
    <mergeCell ref="AA83:AC83"/>
    <mergeCell ref="AD83:AI83"/>
    <mergeCell ref="AJ83:AP83"/>
    <mergeCell ref="AQ81:AR81"/>
    <mergeCell ref="S82:T82"/>
    <mergeCell ref="Y82:Z82"/>
    <mergeCell ref="AA82:AC82"/>
    <mergeCell ref="AD82:AI82"/>
    <mergeCell ref="AJ82:AP82"/>
    <mergeCell ref="AQ82:AR82"/>
    <mergeCell ref="A81:A82"/>
    <mergeCell ref="S81:T81"/>
    <mergeCell ref="Y81:Z81"/>
    <mergeCell ref="AA81:AC81"/>
    <mergeCell ref="AD81:AI81"/>
    <mergeCell ref="AJ81:AP81"/>
    <mergeCell ref="AQ79:AR79"/>
    <mergeCell ref="S80:T80"/>
    <mergeCell ref="Y80:Z80"/>
    <mergeCell ref="AA80:AC80"/>
    <mergeCell ref="AD80:AI80"/>
    <mergeCell ref="AJ80:AP80"/>
    <mergeCell ref="AQ80:AR80"/>
    <mergeCell ref="A79:A80"/>
    <mergeCell ref="S79:T79"/>
    <mergeCell ref="Y79:Z79"/>
    <mergeCell ref="AA79:AC79"/>
    <mergeCell ref="AD79:AI79"/>
    <mergeCell ref="AJ79:AP79"/>
    <mergeCell ref="S78:T78"/>
    <mergeCell ref="Y78:Z78"/>
    <mergeCell ref="AA78:AC78"/>
    <mergeCell ref="AD78:AI78"/>
    <mergeCell ref="AJ78:AP78"/>
    <mergeCell ref="AQ78:AR78"/>
    <mergeCell ref="S77:T77"/>
    <mergeCell ref="Y77:Z77"/>
    <mergeCell ref="AA77:AC77"/>
    <mergeCell ref="AD77:AI77"/>
    <mergeCell ref="AJ77:AP77"/>
    <mergeCell ref="AQ77:AR77"/>
    <mergeCell ref="S76:T76"/>
    <mergeCell ref="Y76:Z76"/>
    <mergeCell ref="AA76:AC76"/>
    <mergeCell ref="AD76:AI76"/>
    <mergeCell ref="AJ76:AP76"/>
    <mergeCell ref="AQ76:AR76"/>
    <mergeCell ref="S75:T75"/>
    <mergeCell ref="Y75:Z75"/>
    <mergeCell ref="AA75:AC75"/>
    <mergeCell ref="AD75:AI75"/>
    <mergeCell ref="AJ75:AP75"/>
    <mergeCell ref="AQ75:AR75"/>
    <mergeCell ref="S74:T74"/>
    <mergeCell ref="Y74:Z74"/>
    <mergeCell ref="AA74:AC74"/>
    <mergeCell ref="AD74:AI74"/>
    <mergeCell ref="AJ74:AP74"/>
    <mergeCell ref="AQ74:AR74"/>
    <mergeCell ref="AD72:AI72"/>
    <mergeCell ref="AJ72:AP72"/>
    <mergeCell ref="AQ72:AR72"/>
    <mergeCell ref="S73:T73"/>
    <mergeCell ref="Y73:Z73"/>
    <mergeCell ref="AA73:AC73"/>
    <mergeCell ref="AD73:AI73"/>
    <mergeCell ref="AJ73:AP73"/>
    <mergeCell ref="AQ73:AR73"/>
    <mergeCell ref="Q69:R69"/>
    <mergeCell ref="Y70:AR70"/>
    <mergeCell ref="A71:W71"/>
    <mergeCell ref="Y71:Z72"/>
    <mergeCell ref="AA71:AC71"/>
    <mergeCell ref="AD71:AI71"/>
    <mergeCell ref="AJ71:AP71"/>
    <mergeCell ref="AQ71:AR71"/>
    <mergeCell ref="C72:W72"/>
    <mergeCell ref="AA72:AC72"/>
    <mergeCell ref="M68:N68"/>
    <mergeCell ref="O68:P68"/>
    <mergeCell ref="Q68:R68"/>
    <mergeCell ref="C69:D69"/>
    <mergeCell ref="E69:F69"/>
    <mergeCell ref="G69:H69"/>
    <mergeCell ref="I69:J69"/>
    <mergeCell ref="K69:L69"/>
    <mergeCell ref="M69:N69"/>
    <mergeCell ref="O69:P69"/>
    <mergeCell ref="C67:F67"/>
    <mergeCell ref="G67:J67"/>
    <mergeCell ref="K67:N67"/>
    <mergeCell ref="O67:R67"/>
    <mergeCell ref="T67:AA67"/>
    <mergeCell ref="C68:D68"/>
    <mergeCell ref="E68:F68"/>
    <mergeCell ref="G68:H68"/>
    <mergeCell ref="I68:J68"/>
    <mergeCell ref="K68:L68"/>
    <mergeCell ref="A65:A67"/>
    <mergeCell ref="C65:F65"/>
    <mergeCell ref="G65:J65"/>
    <mergeCell ref="K65:N65"/>
    <mergeCell ref="O65:R65"/>
    <mergeCell ref="T65:AA66"/>
    <mergeCell ref="C66:F66"/>
    <mergeCell ref="G66:J66"/>
    <mergeCell ref="K66:N66"/>
    <mergeCell ref="O66:R66"/>
    <mergeCell ref="C63:F63"/>
    <mergeCell ref="G63:J63"/>
    <mergeCell ref="K63:N63"/>
    <mergeCell ref="O63:R63"/>
    <mergeCell ref="T63:AA64"/>
    <mergeCell ref="C64:F64"/>
    <mergeCell ref="G64:J64"/>
    <mergeCell ref="K64:N64"/>
    <mergeCell ref="O64:R64"/>
    <mergeCell ref="C61:F61"/>
    <mergeCell ref="G61:J61"/>
    <mergeCell ref="K61:N61"/>
    <mergeCell ref="O61:R61"/>
    <mergeCell ref="T61:AA62"/>
    <mergeCell ref="C62:F62"/>
    <mergeCell ref="G62:J62"/>
    <mergeCell ref="K62:N62"/>
    <mergeCell ref="O62:R62"/>
    <mergeCell ref="T55:AA55"/>
    <mergeCell ref="T56:AA56"/>
    <mergeCell ref="T57:AA58"/>
    <mergeCell ref="A58:R58"/>
    <mergeCell ref="B59:R59"/>
    <mergeCell ref="T59:AA60"/>
    <mergeCell ref="C60:F60"/>
    <mergeCell ref="G60:J60"/>
    <mergeCell ref="K60:N60"/>
    <mergeCell ref="O60:R60"/>
    <mergeCell ref="AM53:AM54"/>
    <mergeCell ref="AN53:AN54"/>
    <mergeCell ref="AO53:AO54"/>
    <mergeCell ref="AP53:AP54"/>
    <mergeCell ref="AQ53:AQ54"/>
    <mergeCell ref="AR53:AR54"/>
    <mergeCell ref="AG53:AG54"/>
    <mergeCell ref="AH53:AH54"/>
    <mergeCell ref="AI53:AI54"/>
    <mergeCell ref="AJ53:AJ54"/>
    <mergeCell ref="AK53:AK54"/>
    <mergeCell ref="AL53:AL54"/>
    <mergeCell ref="T53:AA54"/>
    <mergeCell ref="AB53:AB54"/>
    <mergeCell ref="AC53:AC54"/>
    <mergeCell ref="AD53:AD54"/>
    <mergeCell ref="AE53:AE54"/>
    <mergeCell ref="AF53:AF54"/>
    <mergeCell ref="N51:N52"/>
    <mergeCell ref="O51:O52"/>
    <mergeCell ref="P51:P52"/>
    <mergeCell ref="Q51:Q52"/>
    <mergeCell ref="R51:R52"/>
    <mergeCell ref="T51:AA52"/>
    <mergeCell ref="H51:H52"/>
    <mergeCell ref="I51:I52"/>
    <mergeCell ref="J51:J52"/>
    <mergeCell ref="K51:K52"/>
    <mergeCell ref="L51:L52"/>
    <mergeCell ref="M51:M52"/>
    <mergeCell ref="AP49:AP50"/>
    <mergeCell ref="AQ49:AQ50"/>
    <mergeCell ref="AR49:AR50"/>
    <mergeCell ref="A51:A52"/>
    <mergeCell ref="B51:B52"/>
    <mergeCell ref="C51:C52"/>
    <mergeCell ref="D51:D52"/>
    <mergeCell ref="E51:E52"/>
    <mergeCell ref="F51:F52"/>
    <mergeCell ref="G51:G52"/>
    <mergeCell ref="AJ49:AJ50"/>
    <mergeCell ref="AK49:AK50"/>
    <mergeCell ref="AL49:AL50"/>
    <mergeCell ref="AM49:AM50"/>
    <mergeCell ref="AN49:AN50"/>
    <mergeCell ref="AO49:AO50"/>
    <mergeCell ref="AR47:AR48"/>
    <mergeCell ref="T49:AA50"/>
    <mergeCell ref="AB49:AB50"/>
    <mergeCell ref="AC49:AC50"/>
    <mergeCell ref="AD49:AD50"/>
    <mergeCell ref="AE49:AE50"/>
    <mergeCell ref="AF49:AF50"/>
    <mergeCell ref="AG49:AG50"/>
    <mergeCell ref="AH49:AH50"/>
    <mergeCell ref="AI49:AI50"/>
    <mergeCell ref="AL47:AL48"/>
    <mergeCell ref="AM47:AM48"/>
    <mergeCell ref="AN47:AN48"/>
    <mergeCell ref="AO47:AO48"/>
    <mergeCell ref="AP47:AP48"/>
    <mergeCell ref="AQ47:AQ48"/>
    <mergeCell ref="AF47:AF48"/>
    <mergeCell ref="AG47:AG48"/>
    <mergeCell ref="AH47:AH48"/>
    <mergeCell ref="AI47:AI48"/>
    <mergeCell ref="AJ47:AJ48"/>
    <mergeCell ref="AK47:AK48"/>
    <mergeCell ref="T45:AA46"/>
    <mergeCell ref="T47:AA48"/>
    <mergeCell ref="AB47:AB48"/>
    <mergeCell ref="AC47:AC48"/>
    <mergeCell ref="AD47:AD48"/>
    <mergeCell ref="AE47:AE48"/>
    <mergeCell ref="M45:M46"/>
    <mergeCell ref="N45:N46"/>
    <mergeCell ref="O45:O46"/>
    <mergeCell ref="P45:P46"/>
    <mergeCell ref="Q45:Q46"/>
    <mergeCell ref="R45:R46"/>
    <mergeCell ref="G45:G46"/>
    <mergeCell ref="H45:H46"/>
    <mergeCell ref="I45:I46"/>
    <mergeCell ref="J45:J46"/>
    <mergeCell ref="K45:K46"/>
    <mergeCell ref="L45:L46"/>
    <mergeCell ref="T41:AA42"/>
    <mergeCell ref="A42:R43"/>
    <mergeCell ref="T43:AA44"/>
    <mergeCell ref="B44:B46"/>
    <mergeCell ref="C44:R44"/>
    <mergeCell ref="A45:A46"/>
    <mergeCell ref="C45:C46"/>
    <mergeCell ref="D45:D46"/>
    <mergeCell ref="E45:E46"/>
    <mergeCell ref="F45:F46"/>
    <mergeCell ref="T29:AA30"/>
    <mergeCell ref="T31:AA32"/>
    <mergeCell ref="T33:AA33"/>
    <mergeCell ref="T35:AR37"/>
    <mergeCell ref="T38:AA38"/>
    <mergeCell ref="AB38:AB40"/>
    <mergeCell ref="AC38:AR38"/>
    <mergeCell ref="T39:AA39"/>
    <mergeCell ref="T40:AA40"/>
    <mergeCell ref="N27:N28"/>
    <mergeCell ref="O27:O28"/>
    <mergeCell ref="P27:P28"/>
    <mergeCell ref="Q27:Q28"/>
    <mergeCell ref="R27:R28"/>
    <mergeCell ref="T27:AA28"/>
    <mergeCell ref="H27:H28"/>
    <mergeCell ref="I27:I28"/>
    <mergeCell ref="J27:J28"/>
    <mergeCell ref="K27:K28"/>
    <mergeCell ref="L27:L28"/>
    <mergeCell ref="M27:M28"/>
    <mergeCell ref="A27:A28"/>
    <mergeCell ref="C27:C28"/>
    <mergeCell ref="D27:D28"/>
    <mergeCell ref="E27:E28"/>
    <mergeCell ref="F27:F28"/>
    <mergeCell ref="G27:G28"/>
    <mergeCell ref="T17:AA17"/>
    <mergeCell ref="T18:AA19"/>
    <mergeCell ref="T20:AA20"/>
    <mergeCell ref="T21:AA21"/>
    <mergeCell ref="T22:AA22"/>
    <mergeCell ref="A23:R25"/>
    <mergeCell ref="T23:AA24"/>
    <mergeCell ref="T25:AA26"/>
    <mergeCell ref="B26:B28"/>
    <mergeCell ref="C26:R26"/>
    <mergeCell ref="T8:AA8"/>
    <mergeCell ref="T9:AA9"/>
    <mergeCell ref="T10:AA11"/>
    <mergeCell ref="T12:AA13"/>
    <mergeCell ref="T14:AA15"/>
    <mergeCell ref="T16:AA16"/>
    <mergeCell ref="M8:M9"/>
    <mergeCell ref="N8:N9"/>
    <mergeCell ref="O8:O9"/>
    <mergeCell ref="P8:P9"/>
    <mergeCell ref="Q8:Q9"/>
    <mergeCell ref="R8:R9"/>
    <mergeCell ref="G8:G9"/>
    <mergeCell ref="H8:H9"/>
    <mergeCell ref="I8:I9"/>
    <mergeCell ref="J8:J9"/>
    <mergeCell ref="K8:K9"/>
    <mergeCell ref="L8:L9"/>
    <mergeCell ref="B7:B9"/>
    <mergeCell ref="C7:R7"/>
    <mergeCell ref="T7:AA7"/>
    <mergeCell ref="AB7:AB9"/>
    <mergeCell ref="AC7:AR7"/>
    <mergeCell ref="A8:A9"/>
    <mergeCell ref="C8:C9"/>
    <mergeCell ref="D8:D9"/>
    <mergeCell ref="E8:E9"/>
    <mergeCell ref="F8:F9"/>
    <mergeCell ref="A1:F1"/>
    <mergeCell ref="A2:AJ2"/>
    <mergeCell ref="AQ2:AR2"/>
    <mergeCell ref="AQ3:AR3"/>
    <mergeCell ref="A4:R6"/>
    <mergeCell ref="T4:AR6"/>
  </mergeCells>
  <hyperlinks>
    <hyperlink ref="A1" location="Содержание прайса!A1" display="Вернуться в начало"/>
    <hyperlink ref="A1:F1" location="'Содержание прайса'!A1" display="Вернуться в начало"/>
  </hyperlinks>
  <printOptions horizontalCentered="1"/>
  <pageMargins left="0" right="0" top="0.47244094488188981" bottom="0" header="0" footer="0"/>
  <pageSetup paperSize="9" scale="43" orientation="landscape" horizontalDpi="300" verticalDpi="300" r:id="rId1"/>
  <headerFooter scaleWithDoc="0">
    <oddHeader xml:space="preserve">&amp;L&amp;G&amp;R&amp;5Центр поддержки клиентов Grand Line: +7 (495) 748-38-38
cайт: www.grandline.ru   </oddHeader>
    <oddFooter>&amp;R&amp;5Страница 23</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pageSetUpPr fitToPage="1"/>
  </sheetPr>
  <dimension ref="A1:R77"/>
  <sheetViews>
    <sheetView zoomScale="70" zoomScaleNormal="70" zoomScaleSheetLayoutView="85" workbookViewId="0">
      <selection sqref="A1:D1"/>
    </sheetView>
  </sheetViews>
  <sheetFormatPr defaultRowHeight="12.75"/>
  <cols>
    <col min="1" max="1" width="73.140625" style="46" customWidth="1"/>
    <col min="2" max="2" width="10.28515625" style="46" customWidth="1"/>
    <col min="3" max="3" width="11.28515625" style="46" customWidth="1"/>
    <col min="4" max="4" width="13" style="46" customWidth="1"/>
    <col min="5" max="5" width="8.140625" style="415" customWidth="1"/>
    <col min="6" max="6" width="8.140625" style="46" customWidth="1"/>
    <col min="7" max="8" width="7.140625" style="46" customWidth="1"/>
    <col min="9" max="11" width="11.42578125" style="46" customWidth="1"/>
    <col min="12" max="12" width="8.85546875" style="46" customWidth="1"/>
    <col min="13" max="13" width="11.7109375" style="46" customWidth="1"/>
    <col min="14" max="14" width="12.85546875" style="46" customWidth="1"/>
    <col min="15" max="16" width="11.7109375" style="46" customWidth="1"/>
    <col min="17" max="17" width="11.42578125" style="46" customWidth="1"/>
    <col min="18" max="18" width="14" style="46" customWidth="1"/>
    <col min="19" max="16384" width="9.140625" style="46"/>
  </cols>
  <sheetData>
    <row r="1" spans="1:18">
      <c r="A1" s="1666" t="s">
        <v>312</v>
      </c>
      <c r="B1" s="1666"/>
      <c r="C1" s="1666"/>
      <c r="D1" s="1666"/>
      <c r="E1" s="46"/>
    </row>
    <row r="2" spans="1:18" ht="18.75" thickBot="1">
      <c r="A2" s="2290" t="s">
        <v>4402</v>
      </c>
      <c r="B2" s="2290"/>
      <c r="C2" s="2290"/>
      <c r="D2" s="2290"/>
      <c r="E2" s="2290"/>
      <c r="F2" s="2290"/>
      <c r="G2" s="2290"/>
      <c r="H2" s="2290"/>
      <c r="I2" s="2290"/>
      <c r="J2" s="2290"/>
      <c r="K2" s="2290"/>
      <c r="L2" s="2290"/>
      <c r="M2" s="2290"/>
      <c r="N2" s="2290"/>
      <c r="O2" s="918"/>
      <c r="P2" s="918"/>
      <c r="Q2" s="734" t="s">
        <v>313</v>
      </c>
      <c r="R2" s="742">
        <v>43304</v>
      </c>
    </row>
    <row r="3" spans="1:18">
      <c r="A3" s="400"/>
      <c r="B3" s="401"/>
      <c r="C3" s="402"/>
      <c r="D3" s="403"/>
      <c r="E3" s="404"/>
      <c r="F3" s="404"/>
      <c r="G3" s="404"/>
      <c r="O3" s="405"/>
      <c r="P3" s="406" t="s">
        <v>804</v>
      </c>
      <c r="R3" s="152">
        <v>43286</v>
      </c>
    </row>
    <row r="4" spans="1:18">
      <c r="A4" s="2106" t="s">
        <v>2039</v>
      </c>
      <c r="B4" s="2106"/>
      <c r="C4" s="2106"/>
      <c r="D4" s="2106"/>
      <c r="E4" s="2106"/>
      <c r="F4" s="2106"/>
      <c r="G4" s="2106"/>
      <c r="H4" s="2106"/>
      <c r="I4" s="2106"/>
      <c r="J4" s="2106"/>
      <c r="K4" s="2106"/>
      <c r="L4" s="2106"/>
      <c r="M4" s="2106"/>
      <c r="N4" s="2106"/>
      <c r="O4" s="2106"/>
      <c r="P4" s="2106"/>
      <c r="Q4" s="2106"/>
      <c r="R4" s="2106"/>
    </row>
    <row r="5" spans="1:18">
      <c r="A5" s="107" t="s">
        <v>1132</v>
      </c>
      <c r="B5" s="1388">
        <v>1</v>
      </c>
      <c r="C5" s="1388"/>
      <c r="D5" s="247">
        <v>2</v>
      </c>
      <c r="E5" s="1388">
        <v>3</v>
      </c>
      <c r="F5" s="1388"/>
      <c r="G5" s="1491">
        <v>4</v>
      </c>
      <c r="H5" s="1491"/>
      <c r="I5" s="1388">
        <v>5</v>
      </c>
      <c r="J5" s="1388"/>
      <c r="K5" s="247">
        <v>6</v>
      </c>
      <c r="L5" s="107">
        <v>7</v>
      </c>
      <c r="M5" s="247">
        <v>8</v>
      </c>
      <c r="N5" s="107">
        <v>9</v>
      </c>
      <c r="O5" s="247">
        <v>10</v>
      </c>
      <c r="P5" s="107">
        <v>11</v>
      </c>
      <c r="Q5" s="247">
        <v>12</v>
      </c>
      <c r="R5" s="107">
        <v>13</v>
      </c>
    </row>
    <row r="6" spans="1:18">
      <c r="A6" s="107" t="s">
        <v>2040</v>
      </c>
      <c r="B6" s="1388" t="s">
        <v>2041</v>
      </c>
      <c r="C6" s="1388"/>
      <c r="D6" s="247" t="s">
        <v>2042</v>
      </c>
      <c r="E6" s="1388" t="s">
        <v>2043</v>
      </c>
      <c r="F6" s="1388"/>
      <c r="G6" s="1491" t="s">
        <v>2044</v>
      </c>
      <c r="H6" s="1491"/>
      <c r="I6" s="1388" t="s">
        <v>2045</v>
      </c>
      <c r="J6" s="1388"/>
      <c r="K6" s="247" t="s">
        <v>2046</v>
      </c>
      <c r="L6" s="107" t="s">
        <v>2047</v>
      </c>
      <c r="M6" s="247" t="s">
        <v>2048</v>
      </c>
      <c r="N6" s="107" t="s">
        <v>2049</v>
      </c>
      <c r="O6" s="247" t="s">
        <v>2050</v>
      </c>
      <c r="P6" s="107" t="s">
        <v>2051</v>
      </c>
      <c r="Q6" s="247" t="s">
        <v>2052</v>
      </c>
      <c r="R6" s="107" t="s">
        <v>2053</v>
      </c>
    </row>
    <row r="7" spans="1:18" s="52" customFormat="1" ht="15" customHeight="1">
      <c r="A7" s="407" t="s">
        <v>6558</v>
      </c>
      <c r="B7" s="2272" t="s">
        <v>369</v>
      </c>
      <c r="C7" s="2273"/>
      <c r="D7" s="919" t="s">
        <v>369</v>
      </c>
      <c r="E7" s="2272" t="s">
        <v>369</v>
      </c>
      <c r="F7" s="2273"/>
      <c r="G7" s="2272" t="s">
        <v>369</v>
      </c>
      <c r="H7" s="2273"/>
      <c r="I7" s="2272" t="s">
        <v>369</v>
      </c>
      <c r="J7" s="2273"/>
      <c r="K7" s="919" t="s">
        <v>369</v>
      </c>
      <c r="L7" s="919" t="s">
        <v>369</v>
      </c>
      <c r="M7" s="919" t="s">
        <v>369</v>
      </c>
      <c r="N7" s="919" t="s">
        <v>369</v>
      </c>
      <c r="O7" s="919" t="s">
        <v>369</v>
      </c>
      <c r="P7" s="919" t="s">
        <v>369</v>
      </c>
      <c r="Q7" s="919">
        <f>ROUND(22200*Belarus*(1-B77),2)</f>
        <v>22200</v>
      </c>
      <c r="R7" s="919" t="s">
        <v>369</v>
      </c>
    </row>
    <row r="8" spans="1:18" s="52" customFormat="1" ht="15" customHeight="1">
      <c r="A8" s="407" t="s">
        <v>6559</v>
      </c>
      <c r="B8" s="2272">
        <f>ROUND(11400*Belarus*(1-B77),2)</f>
        <v>11400</v>
      </c>
      <c r="C8" s="2273"/>
      <c r="D8" s="919">
        <f>ROUND(13050*Belarus*(1-B77),2)</f>
        <v>13050</v>
      </c>
      <c r="E8" s="2272" t="str">
        <f>ROUND(13850*Belarus*(1-B77),2)&amp;"*"</f>
        <v>13850*</v>
      </c>
      <c r="F8" s="2273"/>
      <c r="G8" s="2272" t="str">
        <f>ROUND(14500*Belarus*(1-B77),2)&amp;"*"</f>
        <v>14500*</v>
      </c>
      <c r="H8" s="2273"/>
      <c r="I8" s="2272" t="str">
        <f>ROUND(14500*Belarus*(1-B77),2)&amp;"*"</f>
        <v>14500*</v>
      </c>
      <c r="J8" s="2273"/>
      <c r="K8" s="919">
        <f>ROUND(15600*Belarus*(1-B77),2)</f>
        <v>15600</v>
      </c>
      <c r="L8" s="919" t="str">
        <f>ROUND(17000*Belarus*(1-B77),2)&amp;"*"</f>
        <v>17000*</v>
      </c>
      <c r="M8" s="919">
        <f>ROUND(20300*Belarus*(1-B77),2)</f>
        <v>20300</v>
      </c>
      <c r="N8" s="919" t="str">
        <f>ROUND(18000*Belarus*(1-B77),2)&amp;"*"</f>
        <v>18000*</v>
      </c>
      <c r="O8" s="919" t="str">
        <f>ROUND(19500*Belarus*(1-B77),2)&amp;"*"</f>
        <v>19500*</v>
      </c>
      <c r="P8" s="919">
        <f>ROUND(19500*Belarus*(1-B77),2)</f>
        <v>19500</v>
      </c>
      <c r="Q8" s="919">
        <f>ROUND(21700*Belarus*(1-B77),2)</f>
        <v>21700</v>
      </c>
      <c r="R8" s="919">
        <f>ROUND(20300*Belarus*(1-B77),2)</f>
        <v>20300</v>
      </c>
    </row>
    <row r="9" spans="1:18" s="289" customFormat="1" ht="15" customHeight="1">
      <c r="A9" s="407" t="s">
        <v>6731</v>
      </c>
      <c r="B9" s="2272">
        <f>ROUND(14800*Belarus*(1-B77),2)</f>
        <v>14800</v>
      </c>
      <c r="C9" s="2273"/>
      <c r="D9" s="919">
        <f>ROUND(16900*Belarus*(1-B77),2)</f>
        <v>16900</v>
      </c>
      <c r="E9" s="2272">
        <f>ROUND(17800*Belarus*(1-B77),2)</f>
        <v>17800</v>
      </c>
      <c r="F9" s="2273"/>
      <c r="G9" s="2272">
        <f>ROUND(19200*Belarus*(1-B77),2)</f>
        <v>19200</v>
      </c>
      <c r="H9" s="2273"/>
      <c r="I9" s="2272">
        <f>ROUND(19200*Belarus*(1-B77),2)</f>
        <v>19200</v>
      </c>
      <c r="J9" s="2273"/>
      <c r="K9" s="919">
        <f>ROUND(21300*Belarus*(1-B77),2)</f>
        <v>21300</v>
      </c>
      <c r="L9" s="919">
        <f>ROUND(23600*Belarus*(1-B77),2)</f>
        <v>23600</v>
      </c>
      <c r="M9" s="919">
        <f>ROUND(25800*Belarus*(1-B77),2)</f>
        <v>25800</v>
      </c>
      <c r="N9" s="919">
        <f>ROUND(24000*Belarus*(1-B77),2)</f>
        <v>24000</v>
      </c>
      <c r="O9" s="919">
        <f>ROUND(26400*Belarus*(1-B77),2)</f>
        <v>26400</v>
      </c>
      <c r="P9" s="919">
        <f>ROUND(26400*Belarus*(1-B77),2)</f>
        <v>26400</v>
      </c>
      <c r="Q9" s="919">
        <f>ROUND(29100*Belarus*(1-B77),2)</f>
        <v>29100</v>
      </c>
      <c r="R9" s="919">
        <f>ROUND(25900*Belarus*(1-B77),2)</f>
        <v>25900</v>
      </c>
    </row>
    <row r="10" spans="1:18" s="52" customFormat="1" ht="15" customHeight="1">
      <c r="A10" s="407" t="s">
        <v>4415</v>
      </c>
      <c r="B10" s="2272">
        <f>ROUND(19800*Belarus*(1-B77),2)</f>
        <v>19800</v>
      </c>
      <c r="C10" s="2273"/>
      <c r="D10" s="919">
        <f>ROUND(21300*Belarus*(1-B77),2)</f>
        <v>21300</v>
      </c>
      <c r="E10" s="2272">
        <f>ROUND(22900*Belarus*(1-B77),2)</f>
        <v>22900</v>
      </c>
      <c r="F10" s="2273"/>
      <c r="G10" s="2272">
        <f>ROUND(24300*Belarus*(1-B77),2)</f>
        <v>24300</v>
      </c>
      <c r="H10" s="2273"/>
      <c r="I10" s="2272">
        <f>ROUND(24300*Belarus*(1-B77),2)</f>
        <v>24300</v>
      </c>
      <c r="J10" s="2273"/>
      <c r="K10" s="919">
        <f>ROUND(27200*Belarus*(1-B77),2)</f>
        <v>27200</v>
      </c>
      <c r="L10" s="919">
        <f>ROUND(30300*Belarus*(1-B77),2)</f>
        <v>30300</v>
      </c>
      <c r="M10" s="919">
        <f>ROUND(33900*Belarus*(1-B77),2)</f>
        <v>33900</v>
      </c>
      <c r="N10" s="919">
        <f>ROUND(31700*Belarus*(1-B77),2)</f>
        <v>31700</v>
      </c>
      <c r="O10" s="919">
        <f>ROUND(34100*Belarus*(1-B77),2)</f>
        <v>34100</v>
      </c>
      <c r="P10" s="919">
        <f>ROUND(34100*Belarus*(1-B77),2)</f>
        <v>34100</v>
      </c>
      <c r="Q10" s="919">
        <f>ROUND(37400*Belarus*(1-B77),2)</f>
        <v>37400</v>
      </c>
      <c r="R10" s="919">
        <f>ROUND(34100*Belarus*(1-B77),2)</f>
        <v>34100</v>
      </c>
    </row>
    <row r="11" spans="1:18" s="52" customFormat="1" ht="15" customHeight="1">
      <c r="A11" s="407" t="s">
        <v>6560</v>
      </c>
      <c r="B11" s="2272">
        <f>ROUND(17600*Belarus*(1-B77),2)</f>
        <v>17600</v>
      </c>
      <c r="C11" s="2273"/>
      <c r="D11" s="919">
        <f>ROUND(19600*Belarus*(1-B77),2)</f>
        <v>19600</v>
      </c>
      <c r="E11" s="2272">
        <f>ROUND(20700*Belarus*(1-B77),2)</f>
        <v>20700</v>
      </c>
      <c r="F11" s="2273"/>
      <c r="G11" s="2272">
        <f>ROUND(21700*Belarus*(1-B77),2)</f>
        <v>21700</v>
      </c>
      <c r="H11" s="2273"/>
      <c r="I11" s="2272">
        <f>ROUND(21700*Belarus*(1-B77),2)</f>
        <v>21700</v>
      </c>
      <c r="J11" s="2273"/>
      <c r="K11" s="919">
        <f>ROUND(24300*Belarus*(1-B77),2)</f>
        <v>24300</v>
      </c>
      <c r="L11" s="919">
        <f>ROUND(27100*Belarus*(1-B77),2)</f>
        <v>27100</v>
      </c>
      <c r="M11" s="919">
        <f>ROUND(30800*Belarus*(1-B77),2)</f>
        <v>30800</v>
      </c>
      <c r="N11" s="919">
        <f>ROUND(28300*Belarus*(1-B77),2)</f>
        <v>28300</v>
      </c>
      <c r="O11" s="919">
        <f>ROUND(30400*Belarus*(1-B77),2)</f>
        <v>30400</v>
      </c>
      <c r="P11" s="919">
        <f>ROUND(30400*Belarus*(1-B77),2)</f>
        <v>30400</v>
      </c>
      <c r="Q11" s="919">
        <f>ROUND(33400*Belarus*(1-B77),2)</f>
        <v>33400</v>
      </c>
      <c r="R11" s="919">
        <f>ROUND(31500*Belarus*(1-B77),2)</f>
        <v>31500</v>
      </c>
    </row>
    <row r="12" spans="1:18" s="52" customFormat="1" ht="15" customHeight="1">
      <c r="A12" s="407" t="s">
        <v>4416</v>
      </c>
      <c r="B12" s="2272">
        <f>ROUND(52500*Belarus*(1-B77),2)</f>
        <v>52500</v>
      </c>
      <c r="C12" s="2273"/>
      <c r="D12" s="919">
        <f>ROUND(54300*Belarus*(1-B77),2)</f>
        <v>54300</v>
      </c>
      <c r="E12" s="2272">
        <f>ROUND(55700*Belarus*(1-B77),2)</f>
        <v>55700</v>
      </c>
      <c r="F12" s="2273"/>
      <c r="G12" s="2272">
        <f>ROUND(60000*Belarus*(1-$B77),2)</f>
        <v>60000</v>
      </c>
      <c r="H12" s="2273"/>
      <c r="I12" s="2272">
        <f>ROUND(60000*Belarus*(1-B77),2)</f>
        <v>60000</v>
      </c>
      <c r="J12" s="2273"/>
      <c r="K12" s="919">
        <f>ROUND(65300*Belarus*(1-B77),2)</f>
        <v>65300</v>
      </c>
      <c r="L12" s="919">
        <f>ROUND(67100*Belarus*(1-B77),2)</f>
        <v>67100</v>
      </c>
      <c r="M12" s="919">
        <f>ROUND(68900*Belarus*(1-B77),2)</f>
        <v>68900</v>
      </c>
      <c r="N12" s="919">
        <f>ROUND(68900*Belarus*(1-B77),2)</f>
        <v>68900</v>
      </c>
      <c r="O12" s="919">
        <f>ROUND(70800*Belarus*(1-B77),2)</f>
        <v>70800</v>
      </c>
      <c r="P12" s="919">
        <f>ROUND(70800*Belarus*(1-B77),2)</f>
        <v>70800</v>
      </c>
      <c r="Q12" s="919">
        <f>ROUND(74400*Belarus*(1-B77),2)</f>
        <v>74400</v>
      </c>
      <c r="R12" s="919">
        <f>ROUND(70800*Belarus*(1-B77),2)</f>
        <v>70800</v>
      </c>
    </row>
    <row r="13" spans="1:18" s="289" customFormat="1" ht="15" customHeight="1">
      <c r="A13" s="407" t="s">
        <v>6732</v>
      </c>
      <c r="B13" s="2272">
        <f>ROUND(22900*Belarus*(1-B77),2)</f>
        <v>22900</v>
      </c>
      <c r="C13" s="2273"/>
      <c r="D13" s="919">
        <f>ROUND(24600*Belarus*(1-B77),2)</f>
        <v>24600</v>
      </c>
      <c r="E13" s="2272">
        <f>ROUND(26300*Belarus*(1-B77),2)</f>
        <v>26300</v>
      </c>
      <c r="F13" s="2273"/>
      <c r="G13" s="2272">
        <f>ROUND(26600*Belarus*(1-$B77),2)</f>
        <v>26600</v>
      </c>
      <c r="H13" s="2273"/>
      <c r="I13" s="2272">
        <f>ROUND(26600*Belarus*(1-B77),2)</f>
        <v>26600</v>
      </c>
      <c r="J13" s="2273"/>
      <c r="K13" s="919">
        <f>ROUND(28900*Belarus*(1-B77),2)</f>
        <v>28900</v>
      </c>
      <c r="L13" s="919">
        <f>ROUND(31900*Belarus*(1-B77),2)</f>
        <v>31900</v>
      </c>
      <c r="M13" s="919">
        <f>ROUND(34200*Belarus*(1-B77),2)</f>
        <v>34200</v>
      </c>
      <c r="N13" s="919">
        <f>ROUND(33600*Belarus*(1-B77),2)</f>
        <v>33600</v>
      </c>
      <c r="O13" s="919">
        <f>ROUND(36200*Belarus*(1-B77),2)</f>
        <v>36200</v>
      </c>
      <c r="P13" s="919">
        <f>ROUND(37900*Belarus*(1-B77),2)</f>
        <v>37900</v>
      </c>
      <c r="Q13" s="919">
        <f>ROUND(39500*Belarus*(1-B77),2)</f>
        <v>39500</v>
      </c>
      <c r="R13" s="919">
        <f>ROUND(38200*Belarus*(1-B77),2)</f>
        <v>38200</v>
      </c>
    </row>
    <row r="14" spans="1:18" s="52" customFormat="1" ht="15" customHeight="1">
      <c r="A14" s="407" t="s">
        <v>4417</v>
      </c>
      <c r="B14" s="2272">
        <f>ROUND(18900*Belarus*(1-B77),2)</f>
        <v>18900</v>
      </c>
      <c r="C14" s="2273"/>
      <c r="D14" s="919">
        <f>ROUND(20400*Belarus*(1-B77),2)</f>
        <v>20400</v>
      </c>
      <c r="E14" s="2272">
        <f>ROUND(21900*Belarus*(1-B77),2)</f>
        <v>21900</v>
      </c>
      <c r="F14" s="2273"/>
      <c r="G14" s="2272">
        <f>ROUND(23300*Belarus*(1-B77),2)</f>
        <v>23300</v>
      </c>
      <c r="H14" s="2273"/>
      <c r="I14" s="2272">
        <f>ROUND(23300*Belarus*(1-B77),2)</f>
        <v>23300</v>
      </c>
      <c r="J14" s="2273"/>
      <c r="K14" s="919">
        <f>ROUND(26100*Belarus*(1-B77),2)</f>
        <v>26100</v>
      </c>
      <c r="L14" s="919">
        <f>ROUND(29100*Belarus*(1-B77),2)</f>
        <v>29100</v>
      </c>
      <c r="M14" s="919">
        <f>ROUND(32600*Belarus*(1-B77),2)</f>
        <v>32600</v>
      </c>
      <c r="N14" s="919">
        <f>ROUND(30200*Belarus*(1-B77),2)</f>
        <v>30200</v>
      </c>
      <c r="O14" s="919">
        <f>ROUND(32600*Belarus*(1-B77),2)</f>
        <v>32600</v>
      </c>
      <c r="P14" s="919">
        <f>ROUND(32600*Belarus*(1-B77),2)</f>
        <v>32600</v>
      </c>
      <c r="Q14" s="919" t="str">
        <f>ROUND(35700*Belarus*(1-B77),2)&amp;"*"</f>
        <v>35700*</v>
      </c>
      <c r="R14" s="919">
        <f>ROUND(32600*Belarus*(1-B77),2)</f>
        <v>32600</v>
      </c>
    </row>
    <row r="15" spans="1:18" s="52" customFormat="1" ht="15" customHeight="1">
      <c r="A15" s="407" t="s">
        <v>4418</v>
      </c>
      <c r="B15" s="2272">
        <f>ROUND(19900*Belarus*(1-B77),2)</f>
        <v>19900</v>
      </c>
      <c r="C15" s="2273"/>
      <c r="D15" s="919">
        <f>ROUND(21400*Belarus*(1-B77),2)</f>
        <v>21400</v>
      </c>
      <c r="E15" s="2272">
        <f>ROUND(22900*Belarus*(1-B77),2)</f>
        <v>22900</v>
      </c>
      <c r="F15" s="2273"/>
      <c r="G15" s="2272">
        <f>ROUND(24400*Belarus*(1-B77),2)</f>
        <v>24400</v>
      </c>
      <c r="H15" s="2273"/>
      <c r="I15" s="2272">
        <f>ROUND(24400*Belarus*(1-B77),2)</f>
        <v>24400</v>
      </c>
      <c r="J15" s="2273"/>
      <c r="K15" s="919">
        <f>ROUND(27400*Belarus*(1-B77),2)</f>
        <v>27400</v>
      </c>
      <c r="L15" s="919">
        <f>ROUND(30600*Belarus*(1-B77),2)</f>
        <v>30600</v>
      </c>
      <c r="M15" s="919">
        <f>ROUND(34200*Belarus*(1-B77),2)</f>
        <v>34200</v>
      </c>
      <c r="N15" s="919">
        <f>ROUND(31900*Belarus*(1-B77),2)</f>
        <v>31900</v>
      </c>
      <c r="O15" s="919">
        <f>ROUND(34200*Belarus*(1-B77),2)</f>
        <v>34200</v>
      </c>
      <c r="P15" s="919">
        <f>ROUND(34200*Belarus*(1-B77),2)</f>
        <v>34200</v>
      </c>
      <c r="Q15" s="919">
        <f>ROUND(37500*Belarus*(1-B77),2)</f>
        <v>37500</v>
      </c>
      <c r="R15" s="919">
        <f>ROUND(34200*Belarus*(1-B77),2)</f>
        <v>34200</v>
      </c>
    </row>
    <row r="16" spans="1:18" s="52" customFormat="1" ht="15" customHeight="1">
      <c r="A16" s="407" t="s">
        <v>6561</v>
      </c>
      <c r="B16" s="2288" t="s">
        <v>369</v>
      </c>
      <c r="C16" s="2289"/>
      <c r="D16" s="919">
        <f>ROUND(29700*Belarus*(1-B77),2)</f>
        <v>29700</v>
      </c>
      <c r="E16" s="2272">
        <f>ROUND(29700*Belarus*(1-B77),2)</f>
        <v>29700</v>
      </c>
      <c r="F16" s="2273"/>
      <c r="G16" s="2272">
        <f>ROUND(31700*Belarus*(1-B77),2)</f>
        <v>31700</v>
      </c>
      <c r="H16" s="2273"/>
      <c r="I16" s="2272">
        <f>ROUND(31700*Belarus*(1-B77),2)</f>
        <v>31700</v>
      </c>
      <c r="J16" s="2273"/>
      <c r="K16" s="919">
        <f>ROUND(34400*Belarus*(1-B77),2)</f>
        <v>34400</v>
      </c>
      <c r="L16" s="919">
        <f>ROUND(37200*Belarus*(1-B77),2)</f>
        <v>37200</v>
      </c>
      <c r="M16" s="919">
        <f>ROUND(44000*Belarus*(1-B77),2)</f>
        <v>44000</v>
      </c>
      <c r="N16" s="919">
        <f>ROUND(38500*Belarus*(1-B77),2)</f>
        <v>38500</v>
      </c>
      <c r="O16" s="919">
        <f>ROUND(40900*Belarus*(1-B77),2)</f>
        <v>40900</v>
      </c>
      <c r="P16" s="919">
        <f>ROUND(40900*Belarus*(1-B77),2)</f>
        <v>40900</v>
      </c>
      <c r="Q16" s="919">
        <f>ROUND(46000*Belarus*(1-B77),2)</f>
        <v>46000</v>
      </c>
      <c r="R16" s="919">
        <f>ROUND(44000*Belarus*(1-B77),2)</f>
        <v>44000</v>
      </c>
    </row>
    <row r="17" spans="1:18">
      <c r="A17" s="2258" t="s">
        <v>2054</v>
      </c>
      <c r="B17" s="2258"/>
      <c r="C17" s="2258"/>
      <c r="D17" s="2258"/>
      <c r="E17" s="2258"/>
      <c r="F17" s="2258"/>
      <c r="G17" s="2258"/>
      <c r="H17" s="2258"/>
      <c r="I17" s="2258"/>
      <c r="J17" s="2258"/>
      <c r="K17" s="2258"/>
      <c r="L17" s="2258"/>
      <c r="M17" s="2258"/>
      <c r="N17" s="2258"/>
      <c r="O17" s="2258"/>
      <c r="P17" s="2258"/>
      <c r="Q17" s="2258"/>
      <c r="R17" s="2258"/>
    </row>
    <row r="18" spans="1:18" ht="27" customHeight="1">
      <c r="A18" s="409" t="s">
        <v>4419</v>
      </c>
      <c r="B18" s="2272">
        <f>ROUND(5000*Belarus*(1-B77),2)</f>
        <v>5000</v>
      </c>
      <c r="C18" s="2273"/>
      <c r="D18" s="919" t="str">
        <f>ROUND(5500*Belarus*(1-B77),2)&amp;"*"</f>
        <v>5500*</v>
      </c>
      <c r="E18" s="2272" t="str">
        <f>ROUND(5900*Belarus*(1-B77),2)&amp;"*"</f>
        <v>5900*</v>
      </c>
      <c r="F18" s="2273"/>
      <c r="G18" s="2272" t="str">
        <f>ROUND(6000*Belarus*(1-B77),2)&amp;"*"</f>
        <v>6000*</v>
      </c>
      <c r="H18" s="2273"/>
      <c r="I18" s="2272" t="str">
        <f>ROUND(6000*Belarus*(1-B77),2)&amp;"*"</f>
        <v>6000*</v>
      </c>
      <c r="J18" s="2273"/>
      <c r="K18" s="919" t="str">
        <f>ROUND(6600*Belarus*(1-B77),2)&amp;"*"</f>
        <v>6600*</v>
      </c>
      <c r="L18" s="919" t="str">
        <f>ROUND(6700*Belarus*(1-B77),2)&amp;"*"</f>
        <v>6700*</v>
      </c>
      <c r="M18" s="919">
        <f>ROUND(7900*Belarus*(1-B77),2)</f>
        <v>7900</v>
      </c>
      <c r="N18" s="919" t="str">
        <f>ROUND(7100*Belarus*(1-B77),2)&amp;"*"</f>
        <v>7100*</v>
      </c>
      <c r="O18" s="919" t="str">
        <f>ROUND(7200*Belarus*(1-B77),2)&amp;"*"</f>
        <v>7200*</v>
      </c>
      <c r="P18" s="919">
        <f>ROUND(7400*Belarus*(1-B77),2)</f>
        <v>7400</v>
      </c>
      <c r="Q18" s="919">
        <f>ROUND(7900*Belarus*(1-B77),2)</f>
        <v>7900</v>
      </c>
      <c r="R18" s="919">
        <f>ROUND(7400*Belarus*(1-B77),2)</f>
        <v>7400</v>
      </c>
    </row>
    <row r="19" spans="1:18">
      <c r="A19" s="407" t="s">
        <v>4420</v>
      </c>
      <c r="B19" s="2260">
        <f>ROUND(3800*Belarus*(1-B77),2)</f>
        <v>3800</v>
      </c>
      <c r="C19" s="2261"/>
      <c r="D19" s="921">
        <f>ROUND(4000*Belarus*(1-B77),2)</f>
        <v>4000</v>
      </c>
      <c r="E19" s="2260">
        <f>ROUND(4300*Belarus*(1-B77),2)</f>
        <v>4300</v>
      </c>
      <c r="F19" s="2261"/>
      <c r="G19" s="2260">
        <f>ROUND(4500*Belarus*(1-B77),2)</f>
        <v>4500</v>
      </c>
      <c r="H19" s="2261"/>
      <c r="I19" s="2260">
        <f>ROUND(4500*Belarus*(1-B77),2)</f>
        <v>4500</v>
      </c>
      <c r="J19" s="2261"/>
      <c r="K19" s="921">
        <f>ROUND(4700*Belarus*(1-B77),2)</f>
        <v>4700</v>
      </c>
      <c r="L19" s="921">
        <f>ROUND(5000*Belarus*(1-B77),2)</f>
        <v>5000</v>
      </c>
      <c r="M19" s="921">
        <f>ROUND(5700*Belarus*(1-B77),2)</f>
        <v>5700</v>
      </c>
      <c r="N19" s="921">
        <f>ROUND(5200*Belarus*(1-B77),2)</f>
        <v>5200</v>
      </c>
      <c r="O19" s="921">
        <f>ROUND(5300*Belarus*(1-B77),2)</f>
        <v>5300</v>
      </c>
      <c r="P19" s="921">
        <f>ROUND(5500*Belarus*(1-B77),2)</f>
        <v>5500</v>
      </c>
      <c r="Q19" s="921">
        <f>ROUND(5700*Belarus*(1-B77),2)</f>
        <v>5700</v>
      </c>
      <c r="R19" s="921">
        <f>ROUND(5500*Belarus*(1-B77),2)</f>
        <v>5500</v>
      </c>
    </row>
    <row r="20" spans="1:18">
      <c r="A20" s="2258" t="s">
        <v>2055</v>
      </c>
      <c r="B20" s="2258"/>
      <c r="C20" s="2258"/>
      <c r="D20" s="2258"/>
      <c r="E20" s="2258"/>
      <c r="F20" s="2258"/>
      <c r="G20" s="2258"/>
      <c r="H20" s="2258"/>
      <c r="I20" s="2258"/>
      <c r="J20" s="2258"/>
      <c r="K20" s="2258"/>
      <c r="L20" s="2258"/>
      <c r="M20" s="2258"/>
      <c r="N20" s="2258"/>
      <c r="O20" s="2258"/>
      <c r="P20" s="2258"/>
      <c r="Q20" s="2258"/>
      <c r="R20" s="2258"/>
    </row>
    <row r="21" spans="1:18" ht="25.5">
      <c r="A21" s="410" t="s">
        <v>4421</v>
      </c>
      <c r="B21" s="2272">
        <f>ROUND(24800*Belarus*(1-B77),2)</f>
        <v>24800</v>
      </c>
      <c r="C21" s="2273"/>
      <c r="D21" s="1194">
        <f>ROUND(24800*Belarus*(1-B77),2)</f>
        <v>24800</v>
      </c>
      <c r="E21" s="2282">
        <f>ROUND(24800*Belarus*(1-B77),2)</f>
        <v>24800</v>
      </c>
      <c r="F21" s="2282"/>
      <c r="G21" s="2277">
        <f>ROUND(26900*Belarus*(1-B77),2)</f>
        <v>26900</v>
      </c>
      <c r="H21" s="2273"/>
      <c r="I21" s="2272">
        <f>ROUND(29900*Belarus*(1-B77),2)</f>
        <v>29900</v>
      </c>
      <c r="J21" s="2273"/>
      <c r="K21" s="919">
        <f>ROUND(33100*Belarus*(1-B77),2)</f>
        <v>33100</v>
      </c>
      <c r="L21" s="919">
        <f>ROUND(46200*Belarus*(1-B77),2)</f>
        <v>46200</v>
      </c>
      <c r="M21" s="919">
        <f>ROUND(52800*Belarus*(1-B77),2)</f>
        <v>52800</v>
      </c>
      <c r="N21" s="919">
        <f>ROUND(37200*Belarus*(1-B77),2)</f>
        <v>37200</v>
      </c>
      <c r="O21" s="919">
        <f>ROUND(52000*Belarus*(1-B77),2)</f>
        <v>52000</v>
      </c>
      <c r="P21" s="919" t="s">
        <v>369</v>
      </c>
      <c r="Q21" s="919" t="s">
        <v>369</v>
      </c>
      <c r="R21" s="920" t="s">
        <v>369</v>
      </c>
    </row>
    <row r="22" spans="1:18">
      <c r="A22" s="2258" t="s">
        <v>6733</v>
      </c>
      <c r="B22" s="2258"/>
      <c r="C22" s="2258"/>
      <c r="D22" s="2258"/>
      <c r="E22" s="2258"/>
      <c r="F22" s="2258"/>
      <c r="G22" s="2258"/>
      <c r="H22" s="2258"/>
      <c r="I22" s="2258"/>
      <c r="J22" s="2258"/>
      <c r="K22" s="2258"/>
      <c r="L22" s="2258"/>
      <c r="M22" s="2258"/>
      <c r="N22" s="2258"/>
      <c r="O22" s="2258"/>
      <c r="P22" s="2258"/>
      <c r="Q22" s="2258"/>
      <c r="R22" s="2258"/>
    </row>
    <row r="23" spans="1:18">
      <c r="A23" s="2285" t="s">
        <v>2056</v>
      </c>
      <c r="B23" s="2286"/>
      <c r="C23" s="2286"/>
      <c r="D23" s="2286"/>
      <c r="E23" s="2287">
        <f>ROUND(11000*Belarus*(1-B77),2)</f>
        <v>11000</v>
      </c>
      <c r="F23" s="2287"/>
      <c r="G23" s="2283" t="s">
        <v>2058</v>
      </c>
      <c r="H23" s="2283"/>
      <c r="I23" s="2283"/>
      <c r="J23" s="2283"/>
      <c r="K23" s="2283"/>
      <c r="L23" s="2283"/>
      <c r="M23" s="2283"/>
      <c r="N23" s="2283"/>
      <c r="O23" s="2283"/>
      <c r="P23" s="2283"/>
      <c r="Q23" s="2284"/>
      <c r="R23" s="285">
        <f>ROUND(14500*Belarus*(1-B77),2)</f>
        <v>14500</v>
      </c>
    </row>
    <row r="24" spans="1:18">
      <c r="A24" s="2281" t="s">
        <v>2057</v>
      </c>
      <c r="B24" s="2281"/>
      <c r="C24" s="2281"/>
      <c r="D24" s="2281"/>
      <c r="E24" s="2282">
        <f>ROUND(8600*Belarus*(1-B77),2)</f>
        <v>8600</v>
      </c>
      <c r="F24" s="2282"/>
      <c r="G24" s="2283" t="s">
        <v>2059</v>
      </c>
      <c r="H24" s="2283"/>
      <c r="I24" s="2283"/>
      <c r="J24" s="2283"/>
      <c r="K24" s="2283"/>
      <c r="L24" s="2283"/>
      <c r="M24" s="2283"/>
      <c r="N24" s="2283"/>
      <c r="O24" s="2283"/>
      <c r="P24" s="2283"/>
      <c r="Q24" s="2284"/>
      <c r="R24" s="285">
        <f>ROUND(9600*Belarus*(1-B77),2)</f>
        <v>9600</v>
      </c>
    </row>
    <row r="25" spans="1:18" s="54" customFormat="1">
      <c r="A25" s="2281" t="s">
        <v>6734</v>
      </c>
      <c r="B25" s="2281"/>
      <c r="C25" s="2281"/>
      <c r="D25" s="2281"/>
      <c r="E25" s="2282">
        <f>ROUND(15300*Belarus*(1-B77),2)</f>
        <v>15300</v>
      </c>
      <c r="F25" s="2282"/>
      <c r="G25" s="2283" t="s">
        <v>6735</v>
      </c>
      <c r="H25" s="2283"/>
      <c r="I25" s="2283"/>
      <c r="J25" s="2283"/>
      <c r="K25" s="2283"/>
      <c r="L25" s="2283"/>
      <c r="M25" s="2283"/>
      <c r="N25" s="2283"/>
      <c r="O25" s="2283"/>
      <c r="P25" s="2283"/>
      <c r="Q25" s="2284"/>
      <c r="R25" s="285">
        <f>ROUND(18200*Belarus*(1-B77),2)</f>
        <v>18200</v>
      </c>
    </row>
    <row r="26" spans="1:18">
      <c r="A26" s="2258" t="s">
        <v>2060</v>
      </c>
      <c r="B26" s="2258"/>
      <c r="C26" s="2258"/>
      <c r="D26" s="2258"/>
      <c r="E26" s="2258"/>
      <c r="F26" s="2258"/>
      <c r="G26" s="2258"/>
      <c r="H26" s="2258"/>
      <c r="I26" s="2258"/>
      <c r="J26" s="2258"/>
      <c r="K26" s="2258"/>
      <c r="L26" s="2258"/>
      <c r="M26" s="2258"/>
      <c r="N26" s="2258"/>
      <c r="O26" s="2258"/>
      <c r="P26" s="2258"/>
      <c r="Q26" s="2258"/>
      <c r="R26" s="2258"/>
    </row>
    <row r="27" spans="1:18">
      <c r="A27" s="407" t="s">
        <v>2061</v>
      </c>
      <c r="B27" s="2272">
        <f>ROUND(5000*Belarus*(1-B77),2)</f>
        <v>5000</v>
      </c>
      <c r="C27" s="2273"/>
      <c r="D27" s="919">
        <f>ROUND(5500*Belarus*(1-B77),2)</f>
        <v>5500</v>
      </c>
      <c r="E27" s="2260">
        <f>ROUND(6000*Belarus*(1-B77),2)</f>
        <v>6000</v>
      </c>
      <c r="F27" s="2261"/>
      <c r="G27" s="2260">
        <f>ROUND(6200*Belarus*(1-B77),2)</f>
        <v>6200</v>
      </c>
      <c r="H27" s="2261"/>
      <c r="I27" s="2272">
        <f>ROUND(6200*Belarus*(1-B77),2)</f>
        <v>6200</v>
      </c>
      <c r="J27" s="2273"/>
      <c r="K27" s="919">
        <f>ROUND(6600*Belarus*(1-B77),2)</f>
        <v>6600</v>
      </c>
      <c r="L27" s="919">
        <f>ROUND(6900*Belarus*(1-B77),2)</f>
        <v>6900</v>
      </c>
      <c r="M27" s="919">
        <f>ROUND(7900*Belarus*(1-B77),2)</f>
        <v>7900</v>
      </c>
      <c r="N27" s="919">
        <f>ROUND(7100*Belarus*(1-B77),2)</f>
        <v>7100</v>
      </c>
      <c r="O27" s="919">
        <f>ROUND(7200*Belarus*(1-B77),2)</f>
        <v>7200</v>
      </c>
      <c r="P27" s="408" t="s">
        <v>369</v>
      </c>
      <c r="Q27" s="408" t="s">
        <v>369</v>
      </c>
      <c r="R27" s="408" t="s">
        <v>369</v>
      </c>
    </row>
    <row r="28" spans="1:18">
      <c r="A28" s="407" t="s">
        <v>4422</v>
      </c>
      <c r="B28" s="2272">
        <f>ROUND(3800*Belarus*(1-B77),2)</f>
        <v>3800</v>
      </c>
      <c r="C28" s="2273"/>
      <c r="D28" s="919">
        <f>ROUND(4000*Belarus*(1-B77),2)</f>
        <v>4000</v>
      </c>
      <c r="E28" s="2260">
        <f>ROUND(4300*Belarus*(1-B77),2)</f>
        <v>4300</v>
      </c>
      <c r="F28" s="2261"/>
      <c r="G28" s="2260">
        <f>ROUND(4700*Belarus*(1-B77),2)</f>
        <v>4700</v>
      </c>
      <c r="H28" s="2261"/>
      <c r="I28" s="2272">
        <f>ROUND(4700*Belarus*(1-B77),2)</f>
        <v>4700</v>
      </c>
      <c r="J28" s="2273"/>
      <c r="K28" s="919">
        <f>ROUND(4800*Belarus*(1-B77),2)</f>
        <v>4800</v>
      </c>
      <c r="L28" s="919">
        <f>ROUND(5000*Belarus*(1-B77),2)</f>
        <v>5000</v>
      </c>
      <c r="M28" s="919">
        <f>ROUND(5700*Belarus*(1-B77),2)</f>
        <v>5700</v>
      </c>
      <c r="N28" s="919">
        <f>ROUND(5200*Belarus*(1-B77),2)</f>
        <v>5200</v>
      </c>
      <c r="O28" s="919">
        <f>ROUND(5300*Belarus*(1-B77),2)</f>
        <v>5300</v>
      </c>
      <c r="P28" s="408" t="s">
        <v>369</v>
      </c>
      <c r="Q28" s="408" t="s">
        <v>369</v>
      </c>
      <c r="R28" s="408" t="s">
        <v>369</v>
      </c>
    </row>
    <row r="29" spans="1:18">
      <c r="A29" s="2278" t="s">
        <v>2062</v>
      </c>
      <c r="B29" s="2279"/>
      <c r="C29" s="2279"/>
      <c r="D29" s="2279"/>
      <c r="E29" s="2279"/>
      <c r="F29" s="2279"/>
      <c r="G29" s="2279"/>
      <c r="H29" s="2279"/>
      <c r="I29" s="2279"/>
      <c r="J29" s="2279"/>
      <c r="K29" s="2279"/>
      <c r="L29" s="2279"/>
      <c r="M29" s="2279"/>
      <c r="N29" s="2279"/>
      <c r="O29" s="2279"/>
      <c r="P29" s="2279"/>
      <c r="Q29" s="2279"/>
      <c r="R29" s="2280"/>
    </row>
    <row r="30" spans="1:18">
      <c r="A30" s="407" t="s">
        <v>2063</v>
      </c>
      <c r="B30" s="2272">
        <f>ROUND(8300*Belarus*(1-B77),2)</f>
        <v>8300</v>
      </c>
      <c r="C30" s="2277"/>
      <c r="D30" s="2277"/>
      <c r="E30" s="2277"/>
      <c r="F30" s="2277"/>
      <c r="G30" s="2277"/>
      <c r="H30" s="2277"/>
      <c r="I30" s="2277"/>
      <c r="J30" s="2277"/>
      <c r="K30" s="2277"/>
      <c r="L30" s="2277"/>
      <c r="M30" s="2277"/>
      <c r="N30" s="2277"/>
      <c r="O30" s="2277"/>
      <c r="P30" s="2277"/>
      <c r="Q30" s="2277"/>
      <c r="R30" s="2273"/>
    </row>
    <row r="31" spans="1:18">
      <c r="A31" s="407" t="s">
        <v>2064</v>
      </c>
      <c r="B31" s="2272">
        <f>ROUND(5700*Belarus*(1-B77),2)</f>
        <v>5700</v>
      </c>
      <c r="C31" s="2277"/>
      <c r="D31" s="2277"/>
      <c r="E31" s="2277"/>
      <c r="F31" s="2277"/>
      <c r="G31" s="2277"/>
      <c r="H31" s="2277"/>
      <c r="I31" s="2277"/>
      <c r="J31" s="2277"/>
      <c r="K31" s="2277"/>
      <c r="L31" s="2277"/>
      <c r="M31" s="2277"/>
      <c r="N31" s="2277"/>
      <c r="O31" s="2277"/>
      <c r="P31" s="2277"/>
      <c r="Q31" s="2277"/>
      <c r="R31" s="2273"/>
    </row>
    <row r="32" spans="1:18">
      <c r="A32" s="407" t="s">
        <v>2065</v>
      </c>
      <c r="B32" s="2272">
        <f>ROUND(6200*Belarus*(1-B77),2)</f>
        <v>6200</v>
      </c>
      <c r="C32" s="2277"/>
      <c r="D32" s="2277"/>
      <c r="E32" s="2277"/>
      <c r="F32" s="2277"/>
      <c r="G32" s="2277"/>
      <c r="H32" s="2277"/>
      <c r="I32" s="2277"/>
      <c r="J32" s="2277"/>
      <c r="K32" s="2277"/>
      <c r="L32" s="2277"/>
      <c r="M32" s="2277"/>
      <c r="N32" s="2277"/>
      <c r="O32" s="2277"/>
      <c r="P32" s="2277"/>
      <c r="Q32" s="2277"/>
      <c r="R32" s="2273"/>
    </row>
    <row r="33" spans="1:18">
      <c r="A33" s="407" t="s">
        <v>2066</v>
      </c>
      <c r="B33" s="2272">
        <f>ROUND(2600*Belarus*(1-B77),2)</f>
        <v>2600</v>
      </c>
      <c r="C33" s="2277"/>
      <c r="D33" s="2277"/>
      <c r="E33" s="2277"/>
      <c r="F33" s="2277"/>
      <c r="G33" s="2277"/>
      <c r="H33" s="2277"/>
      <c r="I33" s="2277"/>
      <c r="J33" s="2277"/>
      <c r="K33" s="2277"/>
      <c r="L33" s="2277"/>
      <c r="M33" s="2277"/>
      <c r="N33" s="2277"/>
      <c r="O33" s="2277"/>
      <c r="P33" s="2277"/>
      <c r="Q33" s="2277"/>
      <c r="R33" s="2273"/>
    </row>
    <row r="34" spans="1:18">
      <c r="A34" s="2274" t="s">
        <v>2067</v>
      </c>
      <c r="B34" s="2275"/>
      <c r="C34" s="2275"/>
      <c r="D34" s="2275"/>
      <c r="E34" s="2275"/>
      <c r="F34" s="2275"/>
      <c r="G34" s="2275"/>
      <c r="H34" s="2275"/>
      <c r="I34" s="2275"/>
      <c r="J34" s="2275"/>
      <c r="K34" s="2275"/>
      <c r="L34" s="2275"/>
      <c r="M34" s="2275"/>
      <c r="N34" s="2275"/>
      <c r="O34" s="2275"/>
      <c r="P34" s="2275"/>
      <c r="Q34" s="2275"/>
      <c r="R34" s="2276"/>
    </row>
    <row r="35" spans="1:18">
      <c r="A35" s="407" t="s">
        <v>4423</v>
      </c>
      <c r="B35" s="2272">
        <f>ROUND(2400*Belarus*(1-B77),2)</f>
        <v>2400</v>
      </c>
      <c r="C35" s="2277"/>
      <c r="D35" s="2277"/>
      <c r="E35" s="2277"/>
      <c r="F35" s="2277"/>
      <c r="G35" s="2277"/>
      <c r="H35" s="2277"/>
      <c r="I35" s="2277"/>
      <c r="J35" s="2277"/>
      <c r="K35" s="2277"/>
      <c r="L35" s="2277"/>
      <c r="M35" s="2277"/>
      <c r="N35" s="2277"/>
      <c r="O35" s="2277"/>
      <c r="P35" s="2277"/>
      <c r="Q35" s="2277"/>
      <c r="R35" s="2273"/>
    </row>
    <row r="36" spans="1:18">
      <c r="A36" s="407" t="s">
        <v>4424</v>
      </c>
      <c r="B36" s="2272" t="str">
        <f>ROUND(2250*Belarus*(1-B77),2)&amp;"*"</f>
        <v>2250*</v>
      </c>
      <c r="C36" s="2277"/>
      <c r="D36" s="2277"/>
      <c r="E36" s="2277"/>
      <c r="F36" s="2277"/>
      <c r="G36" s="2277"/>
      <c r="H36" s="2277"/>
      <c r="I36" s="2277"/>
      <c r="J36" s="2277"/>
      <c r="K36" s="2277"/>
      <c r="L36" s="2277"/>
      <c r="M36" s="2277"/>
      <c r="N36" s="2277"/>
      <c r="O36" s="2277"/>
      <c r="P36" s="2277"/>
      <c r="Q36" s="2277"/>
      <c r="R36" s="2273"/>
    </row>
    <row r="37" spans="1:18">
      <c r="A37" s="407" t="s">
        <v>4425</v>
      </c>
      <c r="B37" s="2272">
        <f>ROUND(4650*Belarus*(1-B77),2)</f>
        <v>4650</v>
      </c>
      <c r="C37" s="2277"/>
      <c r="D37" s="2277"/>
      <c r="E37" s="2277"/>
      <c r="F37" s="2277"/>
      <c r="G37" s="2277"/>
      <c r="H37" s="2277"/>
      <c r="I37" s="2277"/>
      <c r="J37" s="2277"/>
      <c r="K37" s="2277"/>
      <c r="L37" s="2277"/>
      <c r="M37" s="2277"/>
      <c r="N37" s="2277"/>
      <c r="O37" s="2277"/>
      <c r="P37" s="2277"/>
      <c r="Q37" s="2277"/>
      <c r="R37" s="2273"/>
    </row>
    <row r="38" spans="1:18">
      <c r="A38" s="407"/>
      <c r="B38" s="1388" t="s">
        <v>2041</v>
      </c>
      <c r="C38" s="1388"/>
      <c r="D38" s="247" t="s">
        <v>2042</v>
      </c>
      <c r="E38" s="1388" t="s">
        <v>2043</v>
      </c>
      <c r="F38" s="1388"/>
      <c r="G38" s="1491" t="s">
        <v>2044</v>
      </c>
      <c r="H38" s="1491"/>
      <c r="I38" s="1388" t="s">
        <v>2045</v>
      </c>
      <c r="J38" s="1388"/>
      <c r="K38" s="247" t="s">
        <v>2046</v>
      </c>
      <c r="L38" s="107" t="s">
        <v>2047</v>
      </c>
      <c r="M38" s="247" t="s">
        <v>2048</v>
      </c>
      <c r="N38" s="107" t="s">
        <v>2049</v>
      </c>
      <c r="O38" s="247" t="s">
        <v>2050</v>
      </c>
      <c r="P38" s="107" t="s">
        <v>2051</v>
      </c>
      <c r="Q38" s="247" t="s">
        <v>2052</v>
      </c>
      <c r="R38" s="107" t="s">
        <v>2053</v>
      </c>
    </row>
    <row r="39" spans="1:18">
      <c r="A39" s="407" t="s">
        <v>2068</v>
      </c>
      <c r="B39" s="2260">
        <f>ROUND(2800*Belarus*(1-B77),2)</f>
        <v>2800</v>
      </c>
      <c r="C39" s="2261"/>
      <c r="D39" s="921">
        <f>ROUND(2800*Belarus*(1-B77),2)</f>
        <v>2800</v>
      </c>
      <c r="E39" s="2260">
        <f>ROUND(2800*Belarus*(1-B77),2)</f>
        <v>2800</v>
      </c>
      <c r="F39" s="2261"/>
      <c r="G39" s="2260">
        <f>ROUND(2800*Belarus*(1-B77),2)</f>
        <v>2800</v>
      </c>
      <c r="H39" s="2261"/>
      <c r="I39" s="2260">
        <f>ROUND(2800*Belarus*(1-B77),2)</f>
        <v>2800</v>
      </c>
      <c r="J39" s="2261"/>
      <c r="K39" s="921">
        <f>ROUND(2800*Belarus*(1-B77),2)</f>
        <v>2800</v>
      </c>
      <c r="L39" s="921">
        <f>ROUND(2800*Belarus*(1-B77),2)</f>
        <v>2800</v>
      </c>
      <c r="M39" s="921">
        <f>ROUND(3000*Belarus*(1-B77),2)</f>
        <v>3000</v>
      </c>
      <c r="N39" s="921">
        <f>ROUND(3000*Belarus*(1-B77),2)</f>
        <v>3000</v>
      </c>
      <c r="O39" s="921">
        <f>ROUND(3000*Belarus*(1-B77),2)</f>
        <v>3000</v>
      </c>
      <c r="P39" s="921">
        <f>ROUND(3000*Belarus*(1-B77),2)</f>
        <v>3000</v>
      </c>
      <c r="Q39" s="921">
        <f>ROUND(3000*Belarus*(1-B77),2)</f>
        <v>3000</v>
      </c>
      <c r="R39" s="921">
        <f>ROUND(3000*Belarus*(1-B77),2)</f>
        <v>3000</v>
      </c>
    </row>
    <row r="40" spans="1:18">
      <c r="A40" s="2274" t="s">
        <v>2069</v>
      </c>
      <c r="B40" s="2275"/>
      <c r="C40" s="2275"/>
      <c r="D40" s="2275"/>
      <c r="E40" s="2275"/>
      <c r="F40" s="2275"/>
      <c r="G40" s="2275"/>
      <c r="H40" s="2275"/>
      <c r="I40" s="2275"/>
      <c r="J40" s="2275"/>
      <c r="K40" s="2275"/>
      <c r="L40" s="2275"/>
      <c r="M40" s="2275"/>
      <c r="N40" s="2275"/>
      <c r="O40" s="2275"/>
      <c r="P40" s="2275"/>
      <c r="Q40" s="2275"/>
      <c r="R40" s="2276"/>
    </row>
    <row r="41" spans="1:18">
      <c r="A41" s="407" t="s">
        <v>6931</v>
      </c>
      <c r="B41" s="2260">
        <f>ROUND(2400*Belarus*(1-F77),2)</f>
        <v>2400</v>
      </c>
      <c r="C41" s="2261"/>
      <c r="D41" s="921">
        <f>ROUND(2400*Belarus*(1-F77),2)</f>
        <v>2400</v>
      </c>
      <c r="E41" s="2260">
        <f>ROUND(2800*Belarus*(1-F77),2)</f>
        <v>2800</v>
      </c>
      <c r="F41" s="2261"/>
      <c r="G41" s="2260">
        <f>ROUND(2800*Belarus*(1-F77),2)</f>
        <v>2800</v>
      </c>
      <c r="H41" s="2261"/>
      <c r="I41" s="2260">
        <f>ROUND(3200*Belarus*(1-F77),2)</f>
        <v>3200</v>
      </c>
      <c r="J41" s="2261"/>
      <c r="K41" s="921">
        <f>ROUND(3200*Belarus*(1-F77),2)</f>
        <v>3200</v>
      </c>
      <c r="L41" s="921">
        <f>ROUND(3200*Belarus*(1-F77),2)</f>
        <v>3200</v>
      </c>
      <c r="M41" s="921">
        <f>ROUND(3500*Belarus*(1-F77),2)</f>
        <v>3500</v>
      </c>
      <c r="N41" s="921">
        <f>ROUND(3500*Belarus*(1-F77),2)</f>
        <v>3500</v>
      </c>
      <c r="O41" s="921">
        <f>ROUND(3500*Belarus*(1-F77),2)</f>
        <v>3500</v>
      </c>
      <c r="P41" s="921">
        <f>ROUND(4400*Belarus*(1-F77),2)</f>
        <v>4400</v>
      </c>
      <c r="Q41" s="921">
        <f>ROUND(4400*Belarus*(1-F77),2)</f>
        <v>4400</v>
      </c>
      <c r="R41" s="921">
        <f>ROUND(4000*Belarus*(1-F77),2)</f>
        <v>4000</v>
      </c>
    </row>
    <row r="42" spans="1:18">
      <c r="A42" s="407" t="s">
        <v>6932</v>
      </c>
      <c r="B42" s="2260">
        <f>ROUND(3800*Belarus*(1-F77),2)</f>
        <v>3800</v>
      </c>
      <c r="C42" s="2261"/>
      <c r="D42" s="921">
        <f>ROUND(4200*Belarus*(1-F77),2)</f>
        <v>4200</v>
      </c>
      <c r="E42" s="2260">
        <f>ROUND(4200*Belarus*(1-F77),2)</f>
        <v>4200</v>
      </c>
      <c r="F42" s="2261"/>
      <c r="G42" s="2260">
        <f>ROUND(4300*Belarus*(1-F77),2)</f>
        <v>4300</v>
      </c>
      <c r="H42" s="2261"/>
      <c r="I42" s="2260">
        <f>ROUND(4500*Belarus*(1-F77),2)</f>
        <v>4500</v>
      </c>
      <c r="J42" s="2261"/>
      <c r="K42" s="921">
        <f>ROUND(4600*Belarus*(1-F77),2)</f>
        <v>4600</v>
      </c>
      <c r="L42" s="921">
        <f>ROUND(5000*Belarus*(1-F77),2)</f>
        <v>5000</v>
      </c>
      <c r="M42" s="921" t="s">
        <v>369</v>
      </c>
      <c r="N42" s="921">
        <f>ROUND(5000*Belarus*(1-F77),2)</f>
        <v>5000</v>
      </c>
      <c r="O42" s="921">
        <f>ROUND(5100*Belarus*(1-F77),2)</f>
        <v>5100</v>
      </c>
      <c r="P42" s="921">
        <f>ROUND(5300*Belarus*(1-F77),2)</f>
        <v>5300</v>
      </c>
      <c r="Q42" s="921">
        <f>ROUND(5600*Belarus*(1-F77),2)</f>
        <v>5600</v>
      </c>
      <c r="R42" s="921">
        <f>ROUND(5400*Belarus*(1-F77),2)</f>
        <v>5400</v>
      </c>
    </row>
    <row r="43" spans="1:18">
      <c r="A43" s="407" t="s">
        <v>6933</v>
      </c>
      <c r="B43" s="2260">
        <f>ROUND(4500*Belarus*(1-F77),2)</f>
        <v>4500</v>
      </c>
      <c r="C43" s="2261"/>
      <c r="D43" s="921">
        <f>ROUND(4800*Belarus*(1-F77),2)</f>
        <v>4800</v>
      </c>
      <c r="E43" s="2260">
        <f>ROUND(5000*Belarus*(1-F77),2)</f>
        <v>5000</v>
      </c>
      <c r="F43" s="2261"/>
      <c r="G43" s="2260">
        <f>ROUND(5300*Belarus*(1-F77),2)</f>
        <v>5300</v>
      </c>
      <c r="H43" s="2261"/>
      <c r="I43" s="2260">
        <f>ROUND(5300*Belarus*(1-F77),2)</f>
        <v>5300</v>
      </c>
      <c r="J43" s="2261"/>
      <c r="K43" s="921">
        <f>ROUND(5700*Belarus*(1-F77),2)</f>
        <v>5700</v>
      </c>
      <c r="L43" s="921">
        <f>ROUND(6000*Belarus*(1-F77),2)</f>
        <v>6000</v>
      </c>
      <c r="M43" s="921">
        <f>ROUND(6600*Belarus*(1-E77),2)</f>
        <v>6600</v>
      </c>
      <c r="N43" s="921">
        <f>ROUND(6600*Belarus*(1-F77),2)</f>
        <v>6600</v>
      </c>
      <c r="O43" s="921">
        <f>ROUND(7100*Belarus*(1-F77),2)</f>
        <v>7100</v>
      </c>
      <c r="P43" s="921">
        <f>ROUND(7100*Belarus*(1-F77),2)</f>
        <v>7100</v>
      </c>
      <c r="Q43" s="921">
        <f>ROUND(7800*Belarus*(1-F77),2)</f>
        <v>7800</v>
      </c>
      <c r="R43" s="921">
        <f>ROUND(7100*Belarus*(1-F77),2)</f>
        <v>7100</v>
      </c>
    </row>
    <row r="44" spans="1:18" ht="25.5">
      <c r="A44" s="409" t="s">
        <v>2070</v>
      </c>
      <c r="B44" s="2272">
        <f>ROUND(3900*Belarus*(1-F77),2)</f>
        <v>3900</v>
      </c>
      <c r="C44" s="2273"/>
      <c r="D44" s="919">
        <f>ROUND(3900*Belarus*(1-F77),2)</f>
        <v>3900</v>
      </c>
      <c r="E44" s="2272">
        <f>ROUND(4300*Belarus*(1-F77),2)</f>
        <v>4300</v>
      </c>
      <c r="F44" s="2273"/>
      <c r="G44" s="2272">
        <f>ROUND(5000*Belarus*(1-F77),2)</f>
        <v>5000</v>
      </c>
      <c r="H44" s="2273"/>
      <c r="I44" s="2272">
        <f>ROUND(5200*Belarus*(1-F77),2)</f>
        <v>5200</v>
      </c>
      <c r="J44" s="2273"/>
      <c r="K44" s="919">
        <f>ROUND(5400*Belarus*(1-F77),2)</f>
        <v>5400</v>
      </c>
      <c r="L44" s="919">
        <f>ROUND(5600*Belarus*(1-F77),2)</f>
        <v>5600</v>
      </c>
      <c r="M44" s="919">
        <f>ROUND(6600*Belarus*(1-F77),2)</f>
        <v>6600</v>
      </c>
      <c r="N44" s="919">
        <f>ROUND(6200*Belarus*(1-F77),2)</f>
        <v>6200</v>
      </c>
      <c r="O44" s="919">
        <f>ROUND(6600*Belarus*(1-F77),2)</f>
        <v>6600</v>
      </c>
      <c r="P44" s="919">
        <f>ROUND(7200*Belarus*(1-F77),2)</f>
        <v>7200</v>
      </c>
      <c r="Q44" s="919">
        <f>ROUND(7800*Belarus*(1-F77),2)</f>
        <v>7800</v>
      </c>
      <c r="R44" s="919">
        <f>ROUND(7600*Belarus*(1-F77),2)</f>
        <v>7600</v>
      </c>
    </row>
    <row r="45" spans="1:18">
      <c r="A45" s="407" t="s">
        <v>6934</v>
      </c>
      <c r="B45" s="2260">
        <f>ROUND(4300*Belarus*(1-F77),2)</f>
        <v>4300</v>
      </c>
      <c r="C45" s="2261"/>
      <c r="D45" s="921">
        <f>ROUND(4400*Belarus*(1-F77),2)</f>
        <v>4400</v>
      </c>
      <c r="E45" s="2260">
        <f>ROUND(4600*Belarus*(1-F77),2)</f>
        <v>4600</v>
      </c>
      <c r="F45" s="2261"/>
      <c r="G45" s="2260">
        <f>ROUND(4900*Belarus*(1-F77),2)</f>
        <v>4900</v>
      </c>
      <c r="H45" s="2261"/>
      <c r="I45" s="2260">
        <f>ROUND(5100*Belarus*(1-F77),2)</f>
        <v>5100</v>
      </c>
      <c r="J45" s="2261"/>
      <c r="K45" s="921">
        <f>ROUND(5500*Belarus*(1-F77),2)</f>
        <v>5500</v>
      </c>
      <c r="L45" s="921">
        <f>ROUND(6000*Belarus*(1-F77),2)</f>
        <v>6000</v>
      </c>
      <c r="M45" s="921">
        <f>ROUND(6400*Belarus*(1-F77),2)</f>
        <v>6400</v>
      </c>
      <c r="N45" s="921">
        <f>ROUND(5700*Belarus*(1-F77),2)</f>
        <v>5700</v>
      </c>
      <c r="O45" s="921">
        <f>ROUND(6300*Belarus*(1-F77),2)</f>
        <v>6300</v>
      </c>
      <c r="P45" s="921">
        <f>ROUND(6300*Belarus*(1-F77),2)</f>
        <v>6300</v>
      </c>
      <c r="Q45" s="921">
        <f>ROUND(6900*Belarus*(1-F77),2)</f>
        <v>6900</v>
      </c>
      <c r="R45" s="921">
        <f>ROUND(6400*Belarus*(1-F77),2)</f>
        <v>6400</v>
      </c>
    </row>
    <row r="46" spans="1:18">
      <c r="A46" s="407" t="s">
        <v>6935</v>
      </c>
      <c r="B46" s="2260">
        <f>ROUND(4600*Belarus*(1-F77),2)</f>
        <v>4600</v>
      </c>
      <c r="C46" s="2261"/>
      <c r="D46" s="921">
        <f>ROUND(4800*Belarus*(1-F77),2)</f>
        <v>4800</v>
      </c>
      <c r="E46" s="2260">
        <f>ROUND(4900*Belarus*(1-F77),2)</f>
        <v>4900</v>
      </c>
      <c r="F46" s="2261"/>
      <c r="G46" s="2260">
        <f>ROUND(5200*Belarus*(1-F77),2)</f>
        <v>5200</v>
      </c>
      <c r="H46" s="2261"/>
      <c r="I46" s="2260">
        <f>ROUND(5500*Belarus*(1-F77),2)</f>
        <v>5500</v>
      </c>
      <c r="J46" s="2261"/>
      <c r="K46" s="921">
        <f>ROUND(6000*Belarus*(1-F77),2)</f>
        <v>6000</v>
      </c>
      <c r="L46" s="921">
        <f>ROUND(6400*Belarus*(1-F77),2)</f>
        <v>6400</v>
      </c>
      <c r="M46" s="921">
        <f>ROUND(6900*Belarus*(1-F77),2)</f>
        <v>6900</v>
      </c>
      <c r="N46" s="921">
        <f>ROUND(6100*Belarus*(1-F77),2)</f>
        <v>6100</v>
      </c>
      <c r="O46" s="921">
        <f>ROUND(6700*Belarus*(1-F77),2)</f>
        <v>6700</v>
      </c>
      <c r="P46" s="921">
        <f>ROUND(6700*Belarus*(1-F77),2)</f>
        <v>6700</v>
      </c>
      <c r="Q46" s="921">
        <f>ROUND(7500*Belarus*(1-F77),2)</f>
        <v>7500</v>
      </c>
      <c r="R46" s="921">
        <f>ROUND(6900*Belarus*(1-F77),2)</f>
        <v>6900</v>
      </c>
    </row>
    <row r="47" spans="1:18">
      <c r="A47" s="2263" t="s">
        <v>2072</v>
      </c>
      <c r="B47" s="2264"/>
      <c r="C47" s="2264"/>
      <c r="D47" s="2264"/>
      <c r="E47" s="2264"/>
      <c r="F47" s="2264"/>
      <c r="G47" s="2264"/>
      <c r="H47" s="2264"/>
      <c r="I47" s="2264"/>
      <c r="J47" s="2265"/>
      <c r="K47" s="2253">
        <f>ROUND(2400*Belarus*(1-F77),2)</f>
        <v>2400</v>
      </c>
      <c r="L47" s="2266"/>
      <c r="M47" s="2266"/>
      <c r="N47" s="2266"/>
      <c r="O47" s="2266"/>
      <c r="P47" s="2266"/>
      <c r="Q47" s="2266"/>
      <c r="R47" s="2255"/>
    </row>
    <row r="48" spans="1:18">
      <c r="A48" s="2263" t="s">
        <v>2073</v>
      </c>
      <c r="B48" s="2264"/>
      <c r="C48" s="2264"/>
      <c r="D48" s="2264"/>
      <c r="E48" s="2264"/>
      <c r="F48" s="2264"/>
      <c r="G48" s="2264"/>
      <c r="H48" s="2264"/>
      <c r="I48" s="2264"/>
      <c r="J48" s="2265"/>
      <c r="K48" s="2253">
        <f>ROUND(2300*Belarus*(1-F77),2)</f>
        <v>2300</v>
      </c>
      <c r="L48" s="2266"/>
      <c r="M48" s="2266"/>
      <c r="N48" s="2266"/>
      <c r="O48" s="2266"/>
      <c r="P48" s="2266"/>
      <c r="Q48" s="2266"/>
      <c r="R48" s="2255"/>
    </row>
    <row r="49" spans="1:18">
      <c r="A49" s="107" t="s">
        <v>2040</v>
      </c>
      <c r="B49" s="1388" t="s">
        <v>4426</v>
      </c>
      <c r="C49" s="1388"/>
      <c r="D49" s="247" t="s">
        <v>4427</v>
      </c>
      <c r="E49" s="1388" t="s">
        <v>4428</v>
      </c>
      <c r="F49" s="1388"/>
      <c r="G49" s="1491" t="s">
        <v>4429</v>
      </c>
      <c r="H49" s="1491"/>
      <c r="I49" s="2267" t="s">
        <v>4430</v>
      </c>
      <c r="J49" s="2268"/>
      <c r="K49" s="2269"/>
      <c r="L49" s="2270" t="s">
        <v>4431</v>
      </c>
      <c r="M49" s="2271"/>
      <c r="N49" s="107" t="s">
        <v>4432</v>
      </c>
      <c r="O49" s="247" t="s">
        <v>4433</v>
      </c>
      <c r="P49" s="107" t="s">
        <v>4434</v>
      </c>
      <c r="Q49" s="247" t="s">
        <v>4435</v>
      </c>
      <c r="R49" s="107" t="s">
        <v>4436</v>
      </c>
    </row>
    <row r="50" spans="1:18">
      <c r="A50" s="922" t="s">
        <v>4437</v>
      </c>
      <c r="B50" s="1293" t="s">
        <v>2041</v>
      </c>
      <c r="C50" s="1293"/>
      <c r="D50" s="89" t="s">
        <v>2042</v>
      </c>
      <c r="E50" s="1293" t="s">
        <v>2043</v>
      </c>
      <c r="F50" s="1293"/>
      <c r="G50" s="1292" t="s">
        <v>2044</v>
      </c>
      <c r="H50" s="1292"/>
      <c r="I50" s="1293" t="s">
        <v>2045</v>
      </c>
      <c r="J50" s="1293"/>
      <c r="K50" s="89" t="s">
        <v>2046</v>
      </c>
      <c r="L50" s="153" t="s">
        <v>2047</v>
      </c>
      <c r="M50" s="89" t="s">
        <v>2048</v>
      </c>
      <c r="N50" s="153" t="s">
        <v>2049</v>
      </c>
      <c r="O50" s="89" t="s">
        <v>2050</v>
      </c>
      <c r="P50" s="153" t="s">
        <v>2051</v>
      </c>
      <c r="Q50" s="89" t="s">
        <v>2052</v>
      </c>
      <c r="R50" s="153" t="s">
        <v>2053</v>
      </c>
    </row>
    <row r="51" spans="1:18">
      <c r="A51" s="407" t="s">
        <v>2071</v>
      </c>
      <c r="B51" s="2260">
        <f>ROUND(7200*Belarus*(1-F77),2)</f>
        <v>7200</v>
      </c>
      <c r="C51" s="2261"/>
      <c r="D51" s="921">
        <f>ROUND(7500*Belarus*(1-F77),2)</f>
        <v>7500</v>
      </c>
      <c r="E51" s="2260">
        <f>ROUND(7800*Belarus*(1-F77),2)</f>
        <v>7800</v>
      </c>
      <c r="F51" s="2261"/>
      <c r="G51" s="2260">
        <f>ROUND(8100*Belarus*(1-F77),2)</f>
        <v>8100</v>
      </c>
      <c r="H51" s="2261"/>
      <c r="I51" s="2256">
        <f>ROUND(8400*Belarus*(1-F77),2)</f>
        <v>8400</v>
      </c>
      <c r="J51" s="2262"/>
      <c r="K51" s="2257"/>
      <c r="L51" s="2256">
        <f>ROUND(8700*Belarus*(1-F77),2)</f>
        <v>8700</v>
      </c>
      <c r="M51" s="2257"/>
      <c r="N51" s="921">
        <f>ROUND(9000*Belarus*(1-F77),2)</f>
        <v>9000</v>
      </c>
      <c r="O51" s="921">
        <f>ROUND(9400*Belarus*(1-F77),2)</f>
        <v>9400</v>
      </c>
      <c r="P51" s="921">
        <f>ROUND(9800*Belarus*(1-F77),2)</f>
        <v>9800</v>
      </c>
      <c r="Q51" s="921">
        <f>ROUND(10100*Belarus*(1-F77),2)</f>
        <v>10100</v>
      </c>
      <c r="R51" s="921">
        <f>ROUND(10900*Belarus*(1-F77),2)</f>
        <v>10900</v>
      </c>
    </row>
    <row r="52" spans="1:18">
      <c r="A52" s="2258" t="s">
        <v>2074</v>
      </c>
      <c r="B52" s="2258"/>
      <c r="C52" s="2258"/>
      <c r="D52" s="2258"/>
      <c r="E52" s="2258"/>
      <c r="F52" s="2258"/>
      <c r="G52" s="2258"/>
      <c r="H52" s="2258"/>
      <c r="I52" s="2258"/>
      <c r="J52" s="2258"/>
      <c r="K52" s="2258"/>
      <c r="L52" s="2258"/>
      <c r="M52" s="2258"/>
      <c r="N52" s="2258"/>
      <c r="O52" s="2258"/>
      <c r="P52" s="2258"/>
      <c r="Q52" s="2258"/>
      <c r="R52" s="2258"/>
    </row>
    <row r="53" spans="1:18" ht="25.5" customHeight="1">
      <c r="A53" s="166" t="s">
        <v>2075</v>
      </c>
      <c r="B53" s="411" t="s">
        <v>2076</v>
      </c>
      <c r="C53" s="411" t="s">
        <v>2077</v>
      </c>
      <c r="D53" s="411" t="s">
        <v>2078</v>
      </c>
      <c r="E53" s="2259" t="s">
        <v>6936</v>
      </c>
      <c r="F53" s="2259"/>
      <c r="G53" s="2259" t="s">
        <v>2079</v>
      </c>
      <c r="H53" s="2259"/>
      <c r="I53" s="411" t="s">
        <v>2080</v>
      </c>
      <c r="J53" s="411" t="s">
        <v>2081</v>
      </c>
      <c r="K53" s="411" t="s">
        <v>2082</v>
      </c>
      <c r="L53" s="411" t="s">
        <v>2083</v>
      </c>
      <c r="M53" s="411" t="s">
        <v>6937</v>
      </c>
      <c r="N53" s="411" t="s">
        <v>2084</v>
      </c>
      <c r="O53" s="411" t="s">
        <v>2085</v>
      </c>
      <c r="P53" s="411" t="s">
        <v>6938</v>
      </c>
      <c r="Q53" s="411" t="s">
        <v>2086</v>
      </c>
      <c r="R53" s="411" t="s">
        <v>2087</v>
      </c>
    </row>
    <row r="54" spans="1:18" ht="25.5">
      <c r="A54" s="412" t="s">
        <v>6343</v>
      </c>
      <c r="B54" s="87" t="str">
        <f>ROUND(9500*Belarus*(1-B77),2)&amp;"*"</f>
        <v>9500*</v>
      </c>
      <c r="C54" s="87" t="s">
        <v>369</v>
      </c>
      <c r="D54" s="87" t="str">
        <f>ROUND(6700*Belarus*(1-B77),2)&amp;"*"</f>
        <v>6700*</v>
      </c>
      <c r="E54" s="1295" t="str">
        <f>ROUND(12600*Belarus*(1-B77),2)&amp;"*"</f>
        <v>12600*</v>
      </c>
      <c r="F54" s="1295"/>
      <c r="G54" s="1295" t="str">
        <f>ROUND(9000*Belarus*(1-B77),2)&amp;"*"</f>
        <v>9000*</v>
      </c>
      <c r="H54" s="1295"/>
      <c r="I54" s="87" t="s">
        <v>369</v>
      </c>
      <c r="J54" s="87" t="str">
        <f>ROUND(9700*Belarus*(1-B77),2)&amp;"*"</f>
        <v>9700*</v>
      </c>
      <c r="K54" s="87" t="s">
        <v>369</v>
      </c>
      <c r="L54" s="87" t="str">
        <f>ROUND(7500*Belarus*(1-B77),2)&amp;"*"</f>
        <v>7500*</v>
      </c>
      <c r="M54" s="87">
        <f>ROUND(12900*Belarus*(1-B77),2)</f>
        <v>12900</v>
      </c>
      <c r="N54" s="87" t="s">
        <v>369</v>
      </c>
      <c r="O54" s="87" t="str">
        <f>ROUND(9200*Belarus*(1-B77),2)&amp;"*"</f>
        <v>9200*</v>
      </c>
      <c r="P54" s="87" t="s">
        <v>369</v>
      </c>
      <c r="Q54" s="87" t="s">
        <v>369</v>
      </c>
      <c r="R54" s="87">
        <f>ROUND(9700*Belarus*(1-B77),2)</f>
        <v>9700</v>
      </c>
    </row>
    <row r="55" spans="1:18" ht="38.25">
      <c r="A55" s="412" t="s">
        <v>6344</v>
      </c>
      <c r="B55" s="87" t="str">
        <f>ROUND(10600*Belarus*(1-B77),2)&amp;"*"</f>
        <v>10600*</v>
      </c>
      <c r="C55" s="87" t="s">
        <v>369</v>
      </c>
      <c r="D55" s="87" t="str">
        <f>ROUND(8600*Belarus*(1-B77),2)&amp;"*"</f>
        <v>8600*</v>
      </c>
      <c r="E55" s="1295" t="str">
        <f>ROUND(14200*Belarus*(1-B77),2)&amp;"*"</f>
        <v>14200*</v>
      </c>
      <c r="F55" s="1295"/>
      <c r="G55" s="1295" t="str">
        <f>ROUND(11500*Belarus*(1-B77),2)&amp;"*"</f>
        <v>11500*</v>
      </c>
      <c r="H55" s="1295"/>
      <c r="I55" s="87">
        <f>ROUND(13200*Belarus*(1-B77),2)</f>
        <v>13200</v>
      </c>
      <c r="J55" s="87" t="str">
        <f>ROUND(10900*Belarus*(1-B77),2)&amp;"*"</f>
        <v>10900*</v>
      </c>
      <c r="K55" s="87" t="s">
        <v>369</v>
      </c>
      <c r="L55" s="87" t="str">
        <f>ROUND(9400*Belarus*(1-B77),2)&amp;"*"</f>
        <v>9400*</v>
      </c>
      <c r="M55" s="87">
        <f>ROUND(14500*Belarus*(1-B77),2)</f>
        <v>14500</v>
      </c>
      <c r="N55" s="87" t="s">
        <v>369</v>
      </c>
      <c r="O55" s="87" t="str">
        <f>ROUND(12600*Belarus*(1-B77),2)&amp;"*"</f>
        <v>12600*</v>
      </c>
      <c r="P55" s="87">
        <f>ROUND(14700*Belarus*(1-B77),2)</f>
        <v>14700</v>
      </c>
      <c r="Q55" s="87" t="s">
        <v>369</v>
      </c>
      <c r="R55" s="87">
        <f>ROUND(13200*Belarus*(1-B77),2)</f>
        <v>13200</v>
      </c>
    </row>
    <row r="56" spans="1:18" ht="25.5">
      <c r="A56" s="215" t="s">
        <v>2088</v>
      </c>
      <c r="B56" s="87" t="s">
        <v>369</v>
      </c>
      <c r="C56" s="87" t="s">
        <v>369</v>
      </c>
      <c r="D56" s="87">
        <f>ROUND(12800*Belarus*(1-B77),2)</f>
        <v>12800</v>
      </c>
      <c r="E56" s="1295" t="s">
        <v>369</v>
      </c>
      <c r="F56" s="1295"/>
      <c r="G56" s="1295" t="s">
        <v>369</v>
      </c>
      <c r="H56" s="1295"/>
      <c r="I56" s="87" t="s">
        <v>369</v>
      </c>
      <c r="J56" s="87" t="s">
        <v>369</v>
      </c>
      <c r="K56" s="87" t="s">
        <v>369</v>
      </c>
      <c r="L56" s="87">
        <f>ROUND(12800*Belarus*(1-B77),2)</f>
        <v>12800</v>
      </c>
      <c r="M56" s="87" t="s">
        <v>369</v>
      </c>
      <c r="N56" s="87" t="s">
        <v>369</v>
      </c>
      <c r="O56" s="87" t="s">
        <v>369</v>
      </c>
      <c r="P56" s="87" t="s">
        <v>369</v>
      </c>
      <c r="Q56" s="87" t="s">
        <v>369</v>
      </c>
      <c r="R56" s="87" t="s">
        <v>369</v>
      </c>
    </row>
    <row r="57" spans="1:18" ht="38.25">
      <c r="A57" s="412" t="s">
        <v>2089</v>
      </c>
      <c r="B57" s="87" t="s">
        <v>369</v>
      </c>
      <c r="C57" s="87" t="s">
        <v>369</v>
      </c>
      <c r="D57" s="87" t="str">
        <f>ROUND(12400*Belarus*(1-B77),2)&amp;"*"</f>
        <v>12400*</v>
      </c>
      <c r="E57" s="1295" t="s">
        <v>369</v>
      </c>
      <c r="F57" s="1295"/>
      <c r="G57" s="1295" t="s">
        <v>369</v>
      </c>
      <c r="H57" s="1295"/>
      <c r="I57" s="87" t="s">
        <v>369</v>
      </c>
      <c r="J57" s="87" t="s">
        <v>369</v>
      </c>
      <c r="K57" s="87" t="s">
        <v>369</v>
      </c>
      <c r="L57" s="87" t="str">
        <f>ROUND(12700*Belarus*(1-B77),2)&amp;"*"</f>
        <v>12700*</v>
      </c>
      <c r="M57" s="87" t="s">
        <v>369</v>
      </c>
      <c r="N57" s="87">
        <f>ROUND(14400*Belarus*(1-B77),2)</f>
        <v>14400</v>
      </c>
      <c r="O57" s="87" t="s">
        <v>369</v>
      </c>
      <c r="P57" s="87" t="s">
        <v>369</v>
      </c>
      <c r="Q57" s="87">
        <f>ROUND(15600*Belarus*(1-B77),2)</f>
        <v>15600</v>
      </c>
      <c r="R57" s="87" t="s">
        <v>369</v>
      </c>
    </row>
    <row r="58" spans="1:18" ht="51">
      <c r="A58" s="215" t="s">
        <v>6345</v>
      </c>
      <c r="B58" s="87" t="s">
        <v>369</v>
      </c>
      <c r="C58" s="87">
        <f>ROUND(17000*Belarus*(1-B77),2)</f>
        <v>17000</v>
      </c>
      <c r="D58" s="87" t="s">
        <v>369</v>
      </c>
      <c r="E58" s="1295" t="s">
        <v>369</v>
      </c>
      <c r="F58" s="1295"/>
      <c r="G58" s="1295" t="s">
        <v>369</v>
      </c>
      <c r="H58" s="1295"/>
      <c r="I58" s="87" t="s">
        <v>369</v>
      </c>
      <c r="J58" s="87" t="s">
        <v>369</v>
      </c>
      <c r="K58" s="87">
        <f>ROUND(17600*Belarus*(1-B77),2)</f>
        <v>17600</v>
      </c>
      <c r="L58" s="87" t="s">
        <v>369</v>
      </c>
      <c r="M58" s="87" t="s">
        <v>369</v>
      </c>
      <c r="N58" s="87" t="s">
        <v>369</v>
      </c>
      <c r="O58" s="87" t="s">
        <v>369</v>
      </c>
      <c r="P58" s="87" t="s">
        <v>369</v>
      </c>
      <c r="Q58" s="87" t="s">
        <v>369</v>
      </c>
      <c r="R58" s="87" t="s">
        <v>369</v>
      </c>
    </row>
    <row r="59" spans="1:18" ht="38.25">
      <c r="A59" s="413" t="s">
        <v>2090</v>
      </c>
      <c r="B59" s="87" t="s">
        <v>369</v>
      </c>
      <c r="C59" s="87" t="s">
        <v>369</v>
      </c>
      <c r="D59" s="87">
        <f>ROUND(18300*Belarus*(1-B77),2)</f>
        <v>18300</v>
      </c>
      <c r="E59" s="1295" t="s">
        <v>369</v>
      </c>
      <c r="F59" s="1295"/>
      <c r="G59" s="1295">
        <f>ROUND(21100*Belarus*(1-B77),2)</f>
        <v>21100</v>
      </c>
      <c r="H59" s="1295"/>
      <c r="I59" s="87" t="s">
        <v>369</v>
      </c>
      <c r="J59" s="87" t="s">
        <v>369</v>
      </c>
      <c r="K59" s="87" t="s">
        <v>369</v>
      </c>
      <c r="L59" s="87">
        <f>ROUND(19000*Belarus*(1-B77),2)</f>
        <v>19000</v>
      </c>
      <c r="M59" s="87" t="s">
        <v>369</v>
      </c>
      <c r="N59" s="87" t="s">
        <v>369</v>
      </c>
      <c r="O59" s="87">
        <f>ROUND(21600*Belarus*(1-B77),2)</f>
        <v>21600</v>
      </c>
      <c r="P59" s="87" t="s">
        <v>369</v>
      </c>
      <c r="Q59" s="87" t="s">
        <v>369</v>
      </c>
      <c r="R59" s="87" t="s">
        <v>369</v>
      </c>
    </row>
    <row r="60" spans="1:18">
      <c r="A60" s="413" t="s">
        <v>2091</v>
      </c>
      <c r="B60" s="1514">
        <f>ROUND(300*Belarus*(1-B77),2)</f>
        <v>300</v>
      </c>
      <c r="C60" s="1515"/>
      <c r="D60" s="1515"/>
      <c r="E60" s="1515"/>
      <c r="F60" s="1515"/>
      <c r="G60" s="1515"/>
      <c r="H60" s="1515"/>
      <c r="I60" s="1515"/>
      <c r="J60" s="1515"/>
      <c r="K60" s="1515"/>
      <c r="L60" s="1515"/>
      <c r="M60" s="1515"/>
      <c r="N60" s="1515"/>
      <c r="O60" s="1515"/>
      <c r="P60" s="1515"/>
      <c r="Q60" s="1515"/>
      <c r="R60" s="1516"/>
    </row>
    <row r="61" spans="1:18">
      <c r="A61" s="413" t="s">
        <v>2092</v>
      </c>
      <c r="B61" s="1514">
        <f>ROUND(1200*Belarus*(1-B77),2)</f>
        <v>1200</v>
      </c>
      <c r="C61" s="1515"/>
      <c r="D61" s="1515"/>
      <c r="E61" s="1515"/>
      <c r="F61" s="1515"/>
      <c r="G61" s="1515"/>
      <c r="H61" s="1515"/>
      <c r="I61" s="1515"/>
      <c r="J61" s="1515"/>
      <c r="K61" s="1515"/>
      <c r="L61" s="1515"/>
      <c r="M61" s="1515"/>
      <c r="N61" s="1515"/>
      <c r="O61" s="1515"/>
      <c r="P61" s="1515"/>
      <c r="Q61" s="1515"/>
      <c r="R61" s="1516"/>
    </row>
    <row r="62" spans="1:18" ht="25.5">
      <c r="A62" s="166" t="s">
        <v>2075</v>
      </c>
      <c r="B62" s="1531" t="s">
        <v>2093</v>
      </c>
      <c r="C62" s="1531"/>
      <c r="D62" s="162" t="s">
        <v>2094</v>
      </c>
      <c r="E62" s="1531" t="s">
        <v>2095</v>
      </c>
      <c r="F62" s="1531"/>
      <c r="G62" s="1531" t="s">
        <v>2096</v>
      </c>
      <c r="H62" s="1531"/>
      <c r="I62" s="1531" t="s">
        <v>2078</v>
      </c>
      <c r="J62" s="1531"/>
      <c r="K62" s="162" t="s">
        <v>2097</v>
      </c>
      <c r="L62" s="1531" t="s">
        <v>2098</v>
      </c>
      <c r="M62" s="1531"/>
      <c r="N62" s="162" t="s">
        <v>2099</v>
      </c>
      <c r="O62" s="162" t="s">
        <v>2083</v>
      </c>
      <c r="P62" s="162" t="s">
        <v>2100</v>
      </c>
      <c r="Q62" s="162" t="s">
        <v>2101</v>
      </c>
      <c r="R62" s="162" t="s">
        <v>2102</v>
      </c>
    </row>
    <row r="63" spans="1:18">
      <c r="A63" s="407" t="s">
        <v>2103</v>
      </c>
      <c r="B63" s="2253" t="s">
        <v>369</v>
      </c>
      <c r="C63" s="2253"/>
      <c r="D63" s="408">
        <f>ROUND(44200*Belarus*(1-B77),2)</f>
        <v>44200</v>
      </c>
      <c r="E63" s="2254" t="s">
        <v>369</v>
      </c>
      <c r="F63" s="2254"/>
      <c r="G63" s="2254">
        <f>ROUND(44200*Belarus*(1-B77),2)</f>
        <v>44200</v>
      </c>
      <c r="H63" s="2254"/>
      <c r="I63" s="2253" t="s">
        <v>369</v>
      </c>
      <c r="J63" s="2255"/>
      <c r="K63" s="408">
        <f>ROUND(44200*Belarus*(1-B77),2)</f>
        <v>44200</v>
      </c>
      <c r="L63" s="2254" t="s">
        <v>369</v>
      </c>
      <c r="M63" s="2254"/>
      <c r="N63" s="408">
        <f>ROUND(44200*Belarus*(1-B77),2)</f>
        <v>44200</v>
      </c>
      <c r="O63" s="408" t="s">
        <v>369</v>
      </c>
      <c r="P63" s="408">
        <f>ROUND(44200*Belarus*(1-B77),2)</f>
        <v>44200</v>
      </c>
      <c r="Q63" s="408">
        <f>ROUND(44200*Belarus*(1-B77),2)</f>
        <v>44200</v>
      </c>
      <c r="R63" s="408">
        <f>ROUND(3800*Belarus*(1-B77),2)</f>
        <v>3800</v>
      </c>
    </row>
    <row r="64" spans="1:18">
      <c r="A64" s="414" t="s">
        <v>2104</v>
      </c>
      <c r="B64" s="2253">
        <f>ROUND(19300*Belarus*(1-B77),2)</f>
        <v>19300</v>
      </c>
      <c r="C64" s="2253"/>
      <c r="D64" s="408" t="s">
        <v>369</v>
      </c>
      <c r="E64" s="2254">
        <f>ROUND(20100*Belarus*(1-B77),2)</f>
        <v>20100</v>
      </c>
      <c r="F64" s="2254"/>
      <c r="G64" s="2254" t="s">
        <v>369</v>
      </c>
      <c r="H64" s="2254"/>
      <c r="I64" s="2253">
        <f>ROUND(20800*Belarus*(1-B77),2)</f>
        <v>20800</v>
      </c>
      <c r="J64" s="2255"/>
      <c r="K64" s="408" t="s">
        <v>369</v>
      </c>
      <c r="L64" s="2254">
        <f>ROUND(20100*Belarus*(1-B77),2)</f>
        <v>20100</v>
      </c>
      <c r="M64" s="2254"/>
      <c r="N64" s="408" t="s">
        <v>369</v>
      </c>
      <c r="O64" s="408">
        <f>ROUND(21600*Belarus*(1-B77),2)</f>
        <v>21600</v>
      </c>
      <c r="P64" s="408" t="s">
        <v>369</v>
      </c>
      <c r="Q64" s="408" t="s">
        <v>369</v>
      </c>
      <c r="R64" s="408">
        <f>ROUND(3800*Belarus*(1-B77),2)</f>
        <v>3800</v>
      </c>
    </row>
    <row r="65" spans="1:18">
      <c r="E65" s="46"/>
    </row>
    <row r="66" spans="1:18">
      <c r="A66" s="1283" t="s">
        <v>420</v>
      </c>
      <c r="B66" s="1283"/>
      <c r="C66" s="1283"/>
      <c r="D66" s="1283"/>
      <c r="E66" s="1283"/>
      <c r="F66" s="1283"/>
      <c r="G66" s="1283"/>
      <c r="H66" s="1283"/>
      <c r="I66" s="1283"/>
      <c r="J66" s="1283"/>
      <c r="K66" s="1283"/>
      <c r="L66" s="1283"/>
      <c r="M66" s="1283"/>
      <c r="N66" s="1283"/>
      <c r="O66" s="1283"/>
      <c r="P66" s="1283"/>
      <c r="Q66" s="1283"/>
      <c r="R66" s="1283"/>
    </row>
    <row r="67" spans="1:18">
      <c r="A67" s="1296" t="s">
        <v>2105</v>
      </c>
      <c r="B67" s="1296"/>
      <c r="C67" s="1296"/>
      <c r="D67" s="1296"/>
      <c r="E67" s="1296"/>
      <c r="F67" s="1296"/>
      <c r="G67" s="1296"/>
      <c r="H67" s="1296"/>
      <c r="I67" s="1296"/>
      <c r="J67" s="1296"/>
      <c r="K67" s="1296"/>
      <c r="L67" s="1296"/>
      <c r="M67" s="1296"/>
      <c r="N67" s="1296"/>
      <c r="O67" s="1296"/>
      <c r="P67" s="1296"/>
      <c r="Q67" s="1296"/>
      <c r="R67" s="1296"/>
    </row>
    <row r="68" spans="1:18">
      <c r="A68" s="2247" t="s">
        <v>6939</v>
      </c>
      <c r="B68" s="2247"/>
      <c r="C68" s="2247"/>
      <c r="D68" s="2247"/>
      <c r="E68" s="2247"/>
      <c r="F68" s="2247"/>
      <c r="G68" s="2247"/>
      <c r="H68" s="2247"/>
      <c r="I68" s="2247"/>
      <c r="J68" s="2247"/>
      <c r="K68" s="2247"/>
      <c r="L68" s="2247"/>
      <c r="M68" s="2247"/>
      <c r="N68" s="2247"/>
      <c r="O68" s="2247"/>
      <c r="P68" s="2247"/>
      <c r="Q68" s="2247"/>
      <c r="R68" s="2247"/>
    </row>
    <row r="69" spans="1:18">
      <c r="A69" s="1280" t="s">
        <v>6940</v>
      </c>
      <c r="B69" s="1280"/>
      <c r="C69" s="1280"/>
      <c r="D69" s="1280"/>
      <c r="E69" s="1280"/>
      <c r="F69" s="1280"/>
      <c r="G69" s="1280"/>
      <c r="H69" s="1280"/>
      <c r="I69" s="1280"/>
      <c r="J69" s="1280"/>
      <c r="K69" s="1280"/>
      <c r="L69" s="1280"/>
      <c r="M69" s="1280"/>
      <c r="N69" s="1280"/>
      <c r="O69" s="1280"/>
      <c r="P69" s="1280"/>
      <c r="Q69" s="1280"/>
      <c r="R69" s="1280"/>
    </row>
    <row r="70" spans="1:18">
      <c r="A70" s="2247" t="s">
        <v>2106</v>
      </c>
      <c r="B70" s="2247"/>
      <c r="C70" s="2247"/>
      <c r="D70" s="2247"/>
      <c r="E70" s="2247"/>
      <c r="F70" s="2247"/>
      <c r="G70" s="2247"/>
      <c r="H70" s="2247"/>
      <c r="I70" s="2247"/>
      <c r="J70" s="2247"/>
      <c r="K70" s="2247"/>
      <c r="L70" s="2247"/>
      <c r="M70" s="2247"/>
      <c r="N70" s="2247"/>
      <c r="O70" s="2247"/>
      <c r="P70" s="2247"/>
      <c r="Q70" s="2247"/>
      <c r="R70" s="2247"/>
    </row>
    <row r="71" spans="1:18">
      <c r="A71" s="1296" t="s">
        <v>2107</v>
      </c>
      <c r="B71" s="1296"/>
      <c r="C71" s="1296"/>
      <c r="D71" s="1296"/>
      <c r="E71" s="1296"/>
      <c r="F71" s="1296"/>
      <c r="G71" s="1296"/>
      <c r="H71" s="1296"/>
      <c r="I71" s="1296"/>
      <c r="J71" s="1296"/>
      <c r="K71" s="1296"/>
      <c r="L71" s="1296"/>
      <c r="M71" s="1296"/>
      <c r="N71" s="1296"/>
      <c r="O71" s="1296"/>
      <c r="P71" s="1296"/>
      <c r="Q71" s="1296"/>
      <c r="R71" s="1296"/>
    </row>
    <row r="72" spans="1:18">
      <c r="A72" s="319"/>
      <c r="B72" s="319"/>
      <c r="C72" s="319"/>
      <c r="E72" s="46"/>
      <c r="F72" s="415"/>
    </row>
    <row r="73" spans="1:18">
      <c r="A73" s="52"/>
      <c r="B73" s="52"/>
      <c r="C73" s="52"/>
      <c r="D73" s="52"/>
      <c r="E73" s="52"/>
      <c r="F73" s="52"/>
      <c r="G73" s="52"/>
      <c r="H73" s="52"/>
      <c r="I73" s="52"/>
      <c r="J73" s="52"/>
      <c r="K73" s="52"/>
      <c r="L73" s="52"/>
      <c r="M73" s="52"/>
      <c r="N73" s="52"/>
      <c r="O73" s="52"/>
      <c r="P73" s="52"/>
      <c r="Q73" s="52"/>
      <c r="R73" s="52"/>
    </row>
    <row r="74" spans="1:18">
      <c r="A74" s="52"/>
      <c r="B74" s="52"/>
      <c r="C74" s="52"/>
      <c r="D74" s="52"/>
      <c r="E74" s="52"/>
      <c r="F74" s="52"/>
      <c r="G74" s="52"/>
      <c r="H74" s="52"/>
      <c r="I74" s="52"/>
      <c r="J74" s="52"/>
      <c r="K74" s="52"/>
      <c r="L74" s="52"/>
      <c r="M74" s="52"/>
      <c r="N74" s="52"/>
      <c r="O74" s="52"/>
      <c r="P74" s="52"/>
      <c r="Q74" s="52"/>
      <c r="R74" s="52"/>
    </row>
    <row r="75" spans="1:18">
      <c r="A75" s="52"/>
      <c r="B75" s="52"/>
      <c r="C75" s="52"/>
      <c r="D75" s="52"/>
      <c r="E75" s="52"/>
      <c r="F75" s="52"/>
      <c r="G75" s="52"/>
      <c r="H75" s="52"/>
      <c r="I75" s="52"/>
      <c r="J75" s="52"/>
      <c r="K75" s="52"/>
      <c r="L75" s="52"/>
      <c r="M75" s="52"/>
      <c r="N75" s="52"/>
      <c r="O75" s="52"/>
      <c r="P75" s="52"/>
      <c r="Q75" s="52"/>
      <c r="R75" s="52"/>
    </row>
    <row r="76" spans="1:18">
      <c r="A76" s="2248" t="s">
        <v>508</v>
      </c>
      <c r="B76" s="2249" t="s">
        <v>2108</v>
      </c>
      <c r="C76" s="2249"/>
      <c r="D76" s="2249"/>
      <c r="E76" s="2249"/>
      <c r="F76" s="2250" t="s">
        <v>966</v>
      </c>
      <c r="G76" s="2250"/>
      <c r="H76" s="2250"/>
      <c r="I76" s="2250"/>
      <c r="J76" s="416"/>
      <c r="K76" s="416"/>
      <c r="P76" s="251"/>
      <c r="Q76" s="251"/>
      <c r="R76" s="251"/>
    </row>
    <row r="77" spans="1:18">
      <c r="A77" s="2248"/>
      <c r="B77" s="2251">
        <v>0</v>
      </c>
      <c r="C77" s="2251"/>
      <c r="D77" s="2251"/>
      <c r="E77" s="2251"/>
      <c r="F77" s="2252">
        <v>0</v>
      </c>
      <c r="G77" s="2252"/>
      <c r="H77" s="2252"/>
      <c r="I77" s="2252"/>
      <c r="J77" s="146"/>
      <c r="K77" s="146"/>
      <c r="P77" s="251"/>
      <c r="Q77" s="251"/>
      <c r="R77" s="251"/>
    </row>
  </sheetData>
  <sheetProtection selectLockedCells="1" selectUnlockedCells="1"/>
  <mergeCells count="187">
    <mergeCell ref="A1:D1"/>
    <mergeCell ref="A2:N2"/>
    <mergeCell ref="A4:R4"/>
    <mergeCell ref="B5:C5"/>
    <mergeCell ref="E5:F5"/>
    <mergeCell ref="G5:H5"/>
    <mergeCell ref="I5:J5"/>
    <mergeCell ref="B6:C6"/>
    <mergeCell ref="E6:F6"/>
    <mergeCell ref="G6:H6"/>
    <mergeCell ref="I6:J6"/>
    <mergeCell ref="B7:C7"/>
    <mergeCell ref="E7:F7"/>
    <mergeCell ref="G7:H7"/>
    <mergeCell ref="I7:J7"/>
    <mergeCell ref="B8:C8"/>
    <mergeCell ref="E8:F8"/>
    <mergeCell ref="G8:H8"/>
    <mergeCell ref="I8:J8"/>
    <mergeCell ref="B9:C9"/>
    <mergeCell ref="E9:F9"/>
    <mergeCell ref="G9:H9"/>
    <mergeCell ref="I9:J9"/>
    <mergeCell ref="B10:C10"/>
    <mergeCell ref="E10:F10"/>
    <mergeCell ref="G10:H10"/>
    <mergeCell ref="I10:J10"/>
    <mergeCell ref="B11:C11"/>
    <mergeCell ref="E11:F11"/>
    <mergeCell ref="G11:H11"/>
    <mergeCell ref="I11:J11"/>
    <mergeCell ref="B12:C12"/>
    <mergeCell ref="E12:F12"/>
    <mergeCell ref="G12:H12"/>
    <mergeCell ref="I12:J12"/>
    <mergeCell ref="B13:C13"/>
    <mergeCell ref="E13:F13"/>
    <mergeCell ref="G13:H13"/>
    <mergeCell ref="I13:J13"/>
    <mergeCell ref="B14:C14"/>
    <mergeCell ref="E14:F14"/>
    <mergeCell ref="G14:H14"/>
    <mergeCell ref="I14:J14"/>
    <mergeCell ref="B15:C15"/>
    <mergeCell ref="E15:F15"/>
    <mergeCell ref="G15:H15"/>
    <mergeCell ref="I15:J15"/>
    <mergeCell ref="B16:C16"/>
    <mergeCell ref="E16:F16"/>
    <mergeCell ref="G16:H16"/>
    <mergeCell ref="I16:J16"/>
    <mergeCell ref="A17:R17"/>
    <mergeCell ref="B18:C18"/>
    <mergeCell ref="E18:F18"/>
    <mergeCell ref="G18:H18"/>
    <mergeCell ref="I18:J18"/>
    <mergeCell ref="B19:C19"/>
    <mergeCell ref="E19:F19"/>
    <mergeCell ref="G19:H19"/>
    <mergeCell ref="I19:J19"/>
    <mergeCell ref="A20:R20"/>
    <mergeCell ref="B21:C21"/>
    <mergeCell ref="E21:F21"/>
    <mergeCell ref="G21:H21"/>
    <mergeCell ref="I21:J21"/>
    <mergeCell ref="A22:R22"/>
    <mergeCell ref="A23:D23"/>
    <mergeCell ref="E23:F23"/>
    <mergeCell ref="G23:Q23"/>
    <mergeCell ref="A24:D24"/>
    <mergeCell ref="E24:F24"/>
    <mergeCell ref="G24:Q24"/>
    <mergeCell ref="A25:D25"/>
    <mergeCell ref="E25:F25"/>
    <mergeCell ref="G25:Q25"/>
    <mergeCell ref="A26:R26"/>
    <mergeCell ref="B27:C27"/>
    <mergeCell ref="E27:F27"/>
    <mergeCell ref="G27:H27"/>
    <mergeCell ref="I27:J27"/>
    <mergeCell ref="B28:C28"/>
    <mergeCell ref="E28:F28"/>
    <mergeCell ref="G28:H28"/>
    <mergeCell ref="I28:J28"/>
    <mergeCell ref="A29:R29"/>
    <mergeCell ref="B30:R30"/>
    <mergeCell ref="B31:R31"/>
    <mergeCell ref="B32:R32"/>
    <mergeCell ref="B33:R33"/>
    <mergeCell ref="A34:R34"/>
    <mergeCell ref="B35:R35"/>
    <mergeCell ref="B36:R36"/>
    <mergeCell ref="B37:R37"/>
    <mergeCell ref="B38:C38"/>
    <mergeCell ref="E38:F38"/>
    <mergeCell ref="G38:H38"/>
    <mergeCell ref="I38:J38"/>
    <mergeCell ref="B39:C39"/>
    <mergeCell ref="E39:F39"/>
    <mergeCell ref="G39:H39"/>
    <mergeCell ref="I39:J39"/>
    <mergeCell ref="A40:R40"/>
    <mergeCell ref="B41:C41"/>
    <mergeCell ref="E41:F41"/>
    <mergeCell ref="G41:H41"/>
    <mergeCell ref="I41:J41"/>
    <mergeCell ref="B42:C42"/>
    <mergeCell ref="E42:F42"/>
    <mergeCell ref="G42:H42"/>
    <mergeCell ref="I42:J42"/>
    <mergeCell ref="B43:C43"/>
    <mergeCell ref="E43:F43"/>
    <mergeCell ref="G43:H43"/>
    <mergeCell ref="I43:J43"/>
    <mergeCell ref="B44:C44"/>
    <mergeCell ref="E44:F44"/>
    <mergeCell ref="G44:H44"/>
    <mergeCell ref="I44:J44"/>
    <mergeCell ref="B45:C45"/>
    <mergeCell ref="E45:F45"/>
    <mergeCell ref="G45:H45"/>
    <mergeCell ref="I45:J45"/>
    <mergeCell ref="B46:C46"/>
    <mergeCell ref="E46:F46"/>
    <mergeCell ref="G46:H46"/>
    <mergeCell ref="I46:J46"/>
    <mergeCell ref="A47:J47"/>
    <mergeCell ref="K47:R47"/>
    <mergeCell ref="A48:J48"/>
    <mergeCell ref="K48:R48"/>
    <mergeCell ref="B49:C49"/>
    <mergeCell ref="E49:F49"/>
    <mergeCell ref="G49:H49"/>
    <mergeCell ref="I49:K49"/>
    <mergeCell ref="L49:M49"/>
    <mergeCell ref="B50:C50"/>
    <mergeCell ref="E50:F50"/>
    <mergeCell ref="G50:H50"/>
    <mergeCell ref="I50:J50"/>
    <mergeCell ref="B51:C51"/>
    <mergeCell ref="E51:F51"/>
    <mergeCell ref="G51:H51"/>
    <mergeCell ref="I51:K51"/>
    <mergeCell ref="L51:M51"/>
    <mergeCell ref="A52:R52"/>
    <mergeCell ref="E53:F53"/>
    <mergeCell ref="G53:H53"/>
    <mergeCell ref="E54:F54"/>
    <mergeCell ref="G54:H54"/>
    <mergeCell ref="E55:F55"/>
    <mergeCell ref="G55:H55"/>
    <mergeCell ref="E56:F56"/>
    <mergeCell ref="G56:H56"/>
    <mergeCell ref="E57:F57"/>
    <mergeCell ref="G57:H57"/>
    <mergeCell ref="E58:F58"/>
    <mergeCell ref="G58:H58"/>
    <mergeCell ref="E59:F59"/>
    <mergeCell ref="G59:H59"/>
    <mergeCell ref="B60:R60"/>
    <mergeCell ref="B61:R61"/>
    <mergeCell ref="B62:C62"/>
    <mergeCell ref="E62:F62"/>
    <mergeCell ref="G62:H62"/>
    <mergeCell ref="I62:J62"/>
    <mergeCell ref="L62:M62"/>
    <mergeCell ref="B63:C63"/>
    <mergeCell ref="E63:F63"/>
    <mergeCell ref="G63:H63"/>
    <mergeCell ref="I63:J63"/>
    <mergeCell ref="L63:M63"/>
    <mergeCell ref="B64:C64"/>
    <mergeCell ref="E64:F64"/>
    <mergeCell ref="G64:H64"/>
    <mergeCell ref="I64:J64"/>
    <mergeCell ref="L64:M64"/>
    <mergeCell ref="A66:R66"/>
    <mergeCell ref="A67:R67"/>
    <mergeCell ref="A68:R68"/>
    <mergeCell ref="A69:R69"/>
    <mergeCell ref="A70:R70"/>
    <mergeCell ref="A71:R71"/>
    <mergeCell ref="A76:A77"/>
    <mergeCell ref="B76:E76"/>
    <mergeCell ref="F76:I76"/>
    <mergeCell ref="B77:E77"/>
    <mergeCell ref="F77:I77"/>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47"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24</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Q73"/>
  <sheetViews>
    <sheetView zoomScale="70" zoomScaleNormal="70" zoomScaleSheetLayoutView="25" workbookViewId="0">
      <selection sqref="A1:D1"/>
    </sheetView>
  </sheetViews>
  <sheetFormatPr defaultRowHeight="12" customHeight="1"/>
  <cols>
    <col min="1" max="1" width="103.5703125" style="46" customWidth="1"/>
    <col min="2" max="2" width="10.5703125" style="46" customWidth="1"/>
    <col min="3" max="6" width="10" style="46" customWidth="1"/>
    <col min="7" max="7" width="11.140625" style="46" customWidth="1"/>
    <col min="8" max="8" width="11.42578125" style="46" customWidth="1"/>
    <col min="9" max="9" width="8.85546875" style="46" customWidth="1"/>
    <col min="10" max="17" width="7.28515625" style="46" customWidth="1"/>
    <col min="18" max="16384" width="9.140625" style="46"/>
  </cols>
  <sheetData>
    <row r="1" spans="1:17" s="52" customFormat="1" ht="12.75">
      <c r="A1" s="1666" t="s">
        <v>312</v>
      </c>
      <c r="B1" s="1666"/>
      <c r="C1" s="1666"/>
      <c r="D1" s="1666"/>
      <c r="E1" s="55"/>
      <c r="F1" s="55"/>
      <c r="G1" s="55"/>
      <c r="H1" s="55"/>
      <c r="I1" s="55"/>
      <c r="J1" s="55"/>
      <c r="K1" s="55"/>
      <c r="M1" s="1"/>
      <c r="N1" s="46"/>
    </row>
    <row r="2" spans="1:17" s="52" customFormat="1" ht="12.75">
      <c r="O2" s="667" t="s">
        <v>313</v>
      </c>
      <c r="P2" s="2291">
        <v>43256</v>
      </c>
      <c r="Q2" s="2291"/>
    </row>
    <row r="3" spans="1:17" s="52" customFormat="1" ht="18.75" thickBot="1">
      <c r="A3" s="1851" t="s">
        <v>4400</v>
      </c>
      <c r="B3" s="1851"/>
      <c r="C3" s="1851"/>
      <c r="D3" s="1851"/>
      <c r="E3" s="1851"/>
      <c r="F3" s="1851"/>
      <c r="G3" s="1851"/>
      <c r="H3" s="1851"/>
      <c r="I3" s="1851"/>
      <c r="J3" s="1851"/>
      <c r="K3" s="1851"/>
      <c r="L3" s="1851"/>
      <c r="M3" s="1851"/>
      <c r="N3" s="1851"/>
      <c r="O3" s="1851"/>
      <c r="P3" s="1851"/>
      <c r="Q3" s="1851"/>
    </row>
    <row r="4" spans="1:17" s="52" customFormat="1" ht="12.75">
      <c r="A4" s="417"/>
      <c r="B4" s="417"/>
      <c r="C4" s="417"/>
      <c r="D4" s="417"/>
      <c r="E4" s="417"/>
      <c r="F4" s="417"/>
      <c r="G4" s="417"/>
      <c r="H4" s="417"/>
      <c r="I4" s="417"/>
      <c r="J4" s="417"/>
      <c r="K4" s="417"/>
      <c r="L4" s="417"/>
      <c r="N4" s="418"/>
      <c r="O4" s="192" t="s">
        <v>804</v>
      </c>
      <c r="P4" s="2292">
        <v>42256</v>
      </c>
      <c r="Q4" s="2292"/>
    </row>
    <row r="5" spans="1:17" s="52" customFormat="1" ht="12.75">
      <c r="A5" s="1634" t="s">
        <v>2109</v>
      </c>
      <c r="B5" s="1635"/>
      <c r="C5" s="1635"/>
      <c r="D5" s="1635"/>
      <c r="E5" s="1635"/>
      <c r="F5" s="1635"/>
      <c r="G5" s="1635"/>
      <c r="H5" s="1635"/>
      <c r="I5" s="1635"/>
      <c r="J5" s="1635"/>
      <c r="K5" s="1635"/>
      <c r="L5" s="1635"/>
      <c r="M5" s="1635"/>
      <c r="N5" s="1635"/>
      <c r="O5" s="1635"/>
      <c r="P5" s="1635"/>
      <c r="Q5" s="1636"/>
    </row>
    <row r="6" spans="1:17" s="52" customFormat="1" ht="12.75">
      <c r="A6" s="419" t="s">
        <v>307</v>
      </c>
      <c r="B6" s="212" t="s">
        <v>2110</v>
      </c>
      <c r="C6" s="212" t="s">
        <v>2111</v>
      </c>
      <c r="D6" s="212" t="s">
        <v>2112</v>
      </c>
      <c r="E6" s="212" t="s">
        <v>2113</v>
      </c>
      <c r="F6" s="212" t="s">
        <v>2114</v>
      </c>
      <c r="G6" s="212" t="s">
        <v>2115</v>
      </c>
      <c r="H6" s="212" t="s">
        <v>2116</v>
      </c>
      <c r="I6" s="1116" t="s">
        <v>2117</v>
      </c>
      <c r="J6" s="1634" t="s">
        <v>2118</v>
      </c>
      <c r="K6" s="1636"/>
      <c r="L6" s="1634" t="s">
        <v>2119</v>
      </c>
      <c r="M6" s="1636"/>
      <c r="N6" s="1634" t="s">
        <v>2120</v>
      </c>
      <c r="O6" s="1636"/>
      <c r="P6" s="1634" t="s">
        <v>2121</v>
      </c>
      <c r="Q6" s="1636"/>
    </row>
    <row r="7" spans="1:17" s="52" customFormat="1" ht="12.75">
      <c r="A7" s="419" t="s">
        <v>2040</v>
      </c>
      <c r="B7" s="212" t="s">
        <v>2041</v>
      </c>
      <c r="C7" s="212" t="s">
        <v>2122</v>
      </c>
      <c r="D7" s="212" t="s">
        <v>2123</v>
      </c>
      <c r="E7" s="212" t="s">
        <v>2044</v>
      </c>
      <c r="F7" s="212" t="s">
        <v>2045</v>
      </c>
      <c r="G7" s="212" t="s">
        <v>2046</v>
      </c>
      <c r="H7" s="212" t="s">
        <v>2047</v>
      </c>
      <c r="I7" s="1116" t="s">
        <v>2048</v>
      </c>
      <c r="J7" s="1634" t="s">
        <v>2049</v>
      </c>
      <c r="K7" s="1636"/>
      <c r="L7" s="1634" t="s">
        <v>2050</v>
      </c>
      <c r="M7" s="1636"/>
      <c r="N7" s="1634" t="s">
        <v>2051</v>
      </c>
      <c r="O7" s="1636"/>
      <c r="P7" s="1634" t="s">
        <v>2052</v>
      </c>
      <c r="Q7" s="1636"/>
    </row>
    <row r="8" spans="1:17" s="52" customFormat="1" ht="12.75">
      <c r="A8" s="420" t="s">
        <v>6520</v>
      </c>
      <c r="B8" s="87" t="s">
        <v>369</v>
      </c>
      <c r="C8" s="87" t="s">
        <v>369</v>
      </c>
      <c r="D8" s="87" t="s">
        <v>369</v>
      </c>
      <c r="E8" s="87" t="str">
        <f>ROUND(21100*Belarus*(1-E72),2)&amp;"*"</f>
        <v>21100*</v>
      </c>
      <c r="F8" s="87" t="str">
        <f>ROUND(21100*Belarus*(1-E72),2)&amp;"*"</f>
        <v>21100*</v>
      </c>
      <c r="G8" s="87" t="s">
        <v>369</v>
      </c>
      <c r="H8" s="87" t="s">
        <v>369</v>
      </c>
      <c r="I8" s="88" t="s">
        <v>369</v>
      </c>
      <c r="J8" s="1514" t="s">
        <v>369</v>
      </c>
      <c r="K8" s="1516"/>
      <c r="L8" s="1514" t="s">
        <v>369</v>
      </c>
      <c r="M8" s="1516"/>
      <c r="N8" s="1514" t="s">
        <v>369</v>
      </c>
      <c r="O8" s="1516"/>
      <c r="P8" s="1514" t="s">
        <v>369</v>
      </c>
      <c r="Q8" s="1516"/>
    </row>
    <row r="9" spans="1:17" s="52" customFormat="1" ht="12.75">
      <c r="A9" s="2293" t="s">
        <v>2124</v>
      </c>
      <c r="B9" s="2294"/>
      <c r="C9" s="2294"/>
      <c r="D9" s="2294"/>
      <c r="E9" s="2294"/>
      <c r="F9" s="2294"/>
      <c r="G9" s="2294"/>
      <c r="H9" s="2294"/>
      <c r="I9" s="2294"/>
      <c r="J9" s="2294"/>
      <c r="K9" s="2294"/>
      <c r="L9" s="2294"/>
      <c r="M9" s="2294"/>
      <c r="N9" s="2294"/>
      <c r="O9" s="2294"/>
      <c r="P9" s="2294"/>
      <c r="Q9" s="2295"/>
    </row>
    <row r="10" spans="1:17" s="52" customFormat="1" ht="12.75">
      <c r="A10" s="420" t="s">
        <v>2125</v>
      </c>
      <c r="B10" s="87" t="str">
        <f>ROUND(8800*Belarus*(1-E72),2)&amp;" СПб*"</f>
        <v>8800 СПб*</v>
      </c>
      <c r="C10" s="87" t="s">
        <v>369</v>
      </c>
      <c r="D10" s="87" t="s">
        <v>369</v>
      </c>
      <c r="E10" s="87" t="s">
        <v>369</v>
      </c>
      <c r="F10" s="87" t="s">
        <v>369</v>
      </c>
      <c r="G10" s="87" t="str">
        <f>ROUND(10600*Belarus*(1-E72),2)&amp;" СПб*"</f>
        <v>10600 СПб*</v>
      </c>
      <c r="H10" s="87" t="str">
        <f>ROUND(11000*Belarus*(1-E72),2)&amp;" СПб*"</f>
        <v>11000 СПб*</v>
      </c>
      <c r="I10" s="88" t="s">
        <v>369</v>
      </c>
      <c r="J10" s="1514" t="s">
        <v>369</v>
      </c>
      <c r="K10" s="1516"/>
      <c r="L10" s="1514" t="str">
        <f>ROUND(12500*Belarus*(1-E72),2)&amp;"*"</f>
        <v>12500*</v>
      </c>
      <c r="M10" s="1516"/>
      <c r="N10" s="1514" t="s">
        <v>369</v>
      </c>
      <c r="O10" s="1516"/>
      <c r="P10" s="1514" t="s">
        <v>369</v>
      </c>
      <c r="Q10" s="1516"/>
    </row>
    <row r="11" spans="1:17" s="52" customFormat="1" ht="12.75">
      <c r="A11" s="421" t="s">
        <v>2126</v>
      </c>
      <c r="B11" s="87" t="s">
        <v>369</v>
      </c>
      <c r="C11" s="87" t="s">
        <v>369</v>
      </c>
      <c r="D11" s="87" t="s">
        <v>369</v>
      </c>
      <c r="E11" s="87" t="s">
        <v>369</v>
      </c>
      <c r="F11" s="87" t="str">
        <f>ROUND(5900*Belarus*(1-E72),2)&amp;"*"</f>
        <v>5900*</v>
      </c>
      <c r="G11" s="87" t="str">
        <f>ROUND(6350*Belarus*(1-E72),2)&amp;" СПб*"</f>
        <v>6350 СПб*</v>
      </c>
      <c r="H11" s="87" t="s">
        <v>369</v>
      </c>
      <c r="I11" s="88" t="s">
        <v>369</v>
      </c>
      <c r="J11" s="1514" t="s">
        <v>369</v>
      </c>
      <c r="K11" s="1516"/>
      <c r="L11" s="1514" t="s">
        <v>369</v>
      </c>
      <c r="M11" s="1516"/>
      <c r="N11" s="1514" t="s">
        <v>369</v>
      </c>
      <c r="O11" s="1516"/>
      <c r="P11" s="1514" t="s">
        <v>369</v>
      </c>
      <c r="Q11" s="1516"/>
    </row>
    <row r="12" spans="1:17" s="52" customFormat="1" ht="12.75">
      <c r="A12" s="421" t="s">
        <v>2127</v>
      </c>
      <c r="B12" s="87" t="s">
        <v>369</v>
      </c>
      <c r="C12" s="87" t="s">
        <v>369</v>
      </c>
      <c r="D12" s="87" t="s">
        <v>369</v>
      </c>
      <c r="E12" s="87" t="s">
        <v>369</v>
      </c>
      <c r="F12" s="87" t="s">
        <v>369</v>
      </c>
      <c r="G12" s="87" t="s">
        <v>369</v>
      </c>
      <c r="H12" s="87" t="s">
        <v>369</v>
      </c>
      <c r="I12" s="88" t="s">
        <v>369</v>
      </c>
      <c r="J12" s="1514" t="s">
        <v>369</v>
      </c>
      <c r="K12" s="1516"/>
      <c r="L12" s="1514" t="s">
        <v>369</v>
      </c>
      <c r="M12" s="1516"/>
      <c r="N12" s="1514" t="s">
        <v>369</v>
      </c>
      <c r="O12" s="1516"/>
      <c r="P12" s="1514" t="str">
        <f>ROUND(6900*Belarus*(1-H72),2)&amp;"*"</f>
        <v>6900*</v>
      </c>
      <c r="Q12" s="1516"/>
    </row>
    <row r="13" spans="1:17" s="52" customFormat="1" ht="12.75">
      <c r="A13" s="422"/>
      <c r="B13" s="128"/>
      <c r="C13" s="128"/>
      <c r="D13" s="128"/>
      <c r="E13" s="128"/>
      <c r="F13" s="128"/>
      <c r="G13" s="128"/>
      <c r="H13" s="128"/>
      <c r="I13" s="128"/>
      <c r="J13" s="128"/>
      <c r="K13" s="128"/>
      <c r="L13" s="128"/>
      <c r="M13" s="423"/>
      <c r="N13" s="423"/>
      <c r="O13" s="424"/>
      <c r="P13" s="128"/>
      <c r="Q13" s="128"/>
    </row>
    <row r="14" spans="1:17" s="52" customFormat="1" ht="18.75" thickBot="1">
      <c r="A14" s="2296" t="s">
        <v>4401</v>
      </c>
      <c r="B14" s="2296"/>
      <c r="C14" s="2296"/>
      <c r="D14" s="2296"/>
      <c r="E14" s="2296"/>
      <c r="F14" s="2296"/>
      <c r="G14" s="2296"/>
      <c r="H14" s="2296"/>
      <c r="I14" s="2296"/>
      <c r="J14" s="2296"/>
      <c r="K14" s="2296"/>
      <c r="L14" s="2296"/>
      <c r="M14" s="2296"/>
      <c r="N14" s="2296"/>
      <c r="O14" s="2296"/>
      <c r="P14" s="2296"/>
      <c r="Q14" s="2296"/>
    </row>
    <row r="15" spans="1:17" s="52" customFormat="1" ht="12.75">
      <c r="A15" s="422"/>
      <c r="B15" s="128"/>
      <c r="C15" s="128"/>
      <c r="D15" s="128"/>
      <c r="E15" s="128"/>
      <c r="F15" s="128"/>
      <c r="G15" s="128"/>
      <c r="H15" s="128"/>
      <c r="I15" s="128"/>
      <c r="J15" s="128"/>
      <c r="K15" s="128"/>
      <c r="L15" s="128"/>
      <c r="M15" s="25"/>
      <c r="N15" s="423"/>
      <c r="O15" s="425" t="s">
        <v>804</v>
      </c>
      <c r="P15" s="2297">
        <v>43252</v>
      </c>
      <c r="Q15" s="2297"/>
    </row>
    <row r="16" spans="1:17" s="52" customFormat="1" ht="12.75">
      <c r="A16" s="1634" t="s">
        <v>2128</v>
      </c>
      <c r="B16" s="1635"/>
      <c r="C16" s="1635"/>
      <c r="D16" s="1635"/>
      <c r="E16" s="1635"/>
      <c r="F16" s="1635"/>
      <c r="G16" s="1635"/>
      <c r="H16" s="1635"/>
      <c r="I16" s="1635"/>
      <c r="J16" s="1635"/>
      <c r="K16" s="1635"/>
      <c r="L16" s="1635"/>
      <c r="M16" s="1635"/>
      <c r="N16" s="1635"/>
      <c r="O16" s="1635"/>
      <c r="P16" s="1635"/>
      <c r="Q16" s="1636"/>
    </row>
    <row r="17" spans="1:17" s="52" customFormat="1" ht="12.75">
      <c r="A17" s="419" t="s">
        <v>307</v>
      </c>
      <c r="B17" s="212" t="s">
        <v>2129</v>
      </c>
      <c r="C17" s="212" t="s">
        <v>2130</v>
      </c>
      <c r="D17" s="212" t="s">
        <v>2131</v>
      </c>
      <c r="E17" s="212" t="s">
        <v>2132</v>
      </c>
      <c r="F17" s="212" t="s">
        <v>2133</v>
      </c>
      <c r="G17" s="212" t="s">
        <v>2134</v>
      </c>
      <c r="H17" s="212" t="s">
        <v>2135</v>
      </c>
      <c r="I17" s="1116" t="s">
        <v>2136</v>
      </c>
      <c r="J17" s="1634" t="s">
        <v>2137</v>
      </c>
      <c r="K17" s="1636"/>
      <c r="L17" s="1634" t="s">
        <v>2138</v>
      </c>
      <c r="M17" s="1636"/>
      <c r="N17" s="1634" t="s">
        <v>2139</v>
      </c>
      <c r="O17" s="1636"/>
      <c r="P17" s="1634" t="s">
        <v>2140</v>
      </c>
      <c r="Q17" s="1636"/>
    </row>
    <row r="18" spans="1:17" s="52" customFormat="1" ht="12.75">
      <c r="A18" s="419" t="s">
        <v>2040</v>
      </c>
      <c r="B18" s="212" t="s">
        <v>2041</v>
      </c>
      <c r="C18" s="212" t="s">
        <v>2122</v>
      </c>
      <c r="D18" s="212" t="s">
        <v>2123</v>
      </c>
      <c r="E18" s="212" t="s">
        <v>2044</v>
      </c>
      <c r="F18" s="212" t="s">
        <v>2045</v>
      </c>
      <c r="G18" s="212" t="s">
        <v>2046</v>
      </c>
      <c r="H18" s="212" t="s">
        <v>2047</v>
      </c>
      <c r="I18" s="1116" t="s">
        <v>2048</v>
      </c>
      <c r="J18" s="1634" t="s">
        <v>2049</v>
      </c>
      <c r="K18" s="1636"/>
      <c r="L18" s="1634" t="s">
        <v>2050</v>
      </c>
      <c r="M18" s="1636"/>
      <c r="N18" s="1634" t="s">
        <v>2051</v>
      </c>
      <c r="O18" s="1636"/>
      <c r="P18" s="1634" t="s">
        <v>2052</v>
      </c>
      <c r="Q18" s="1636"/>
    </row>
    <row r="19" spans="1:17" s="52" customFormat="1" ht="12.75">
      <c r="A19" s="1117" t="s">
        <v>2141</v>
      </c>
      <c r="B19" s="212">
        <v>0.22</v>
      </c>
      <c r="C19" s="212">
        <v>0.28999999999999998</v>
      </c>
      <c r="D19" s="212">
        <v>0.38</v>
      </c>
      <c r="E19" s="212">
        <v>0.48</v>
      </c>
      <c r="F19" s="212">
        <v>0.47</v>
      </c>
      <c r="G19" s="212">
        <v>0.59</v>
      </c>
      <c r="H19" s="212">
        <v>0.73</v>
      </c>
      <c r="I19" s="1116">
        <v>0.85</v>
      </c>
      <c r="J19" s="1634">
        <v>0.75</v>
      </c>
      <c r="K19" s="1636"/>
      <c r="L19" s="1634">
        <v>0.92</v>
      </c>
      <c r="M19" s="1636"/>
      <c r="N19" s="1634">
        <v>0.95</v>
      </c>
      <c r="O19" s="1636"/>
      <c r="P19" s="1634">
        <v>1.1599999999999999</v>
      </c>
      <c r="Q19" s="1636"/>
    </row>
    <row r="20" spans="1:17" s="52" customFormat="1" ht="12.75">
      <c r="A20" s="1116" t="s">
        <v>2142</v>
      </c>
      <c r="B20" s="1635"/>
      <c r="C20" s="1635"/>
      <c r="D20" s="1635"/>
      <c r="E20" s="1635"/>
      <c r="F20" s="1635"/>
      <c r="G20" s="1635"/>
      <c r="H20" s="1635"/>
      <c r="I20" s="1635"/>
      <c r="J20" s="1635"/>
      <c r="K20" s="1635"/>
      <c r="L20" s="1635"/>
      <c r="M20" s="1635"/>
      <c r="N20" s="1635"/>
      <c r="O20" s="1635"/>
      <c r="P20" s="1635"/>
      <c r="Q20" s="1636"/>
    </row>
    <row r="21" spans="1:17" s="52" customFormat="1" ht="12.75">
      <c r="A21" s="426" t="s">
        <v>2143</v>
      </c>
      <c r="B21" s="87">
        <f>ROUND(11750*Belarus*(1-H72),2)</f>
        <v>11750</v>
      </c>
      <c r="C21" s="87">
        <f>ROUND(14150*Belarus*(1-H72),2)</f>
        <v>14150</v>
      </c>
      <c r="D21" s="87">
        <f>ROUND(15000*Belarus*(1-H72),2)</f>
        <v>15000</v>
      </c>
      <c r="E21" s="87">
        <f>ROUND(15650*Belarus*(1-H72),2)</f>
        <v>15650</v>
      </c>
      <c r="F21" s="87">
        <f>ROUND(15650*Belarus*(1-H72),2)</f>
        <v>15650</v>
      </c>
      <c r="G21" s="87">
        <f>ROUND(16450*Belarus*(1-H72),2)</f>
        <v>16450</v>
      </c>
      <c r="H21" s="87">
        <f>ROUND(18300*Belarus*(1-H72),2)</f>
        <v>18300</v>
      </c>
      <c r="I21" s="88" t="s">
        <v>369</v>
      </c>
      <c r="J21" s="1514">
        <f>ROUND(19500*Belarus*(1-H72),2)</f>
        <v>19500</v>
      </c>
      <c r="K21" s="1516"/>
      <c r="L21" s="1514">
        <f>ROUND(20800*Belarus*(1-H72),2)</f>
        <v>20800</v>
      </c>
      <c r="M21" s="1516"/>
      <c r="N21" s="1514">
        <f>ROUND(20650*Belarus*(1-H72),2)</f>
        <v>20650</v>
      </c>
      <c r="O21" s="1516"/>
      <c r="P21" s="1514">
        <f>ROUND(22800*Belarus*(1-H72),2)</f>
        <v>22800</v>
      </c>
      <c r="Q21" s="1516"/>
    </row>
    <row r="22" spans="1:17" s="52" customFormat="1" ht="12.75">
      <c r="A22" s="420" t="s">
        <v>2144</v>
      </c>
      <c r="B22" s="87">
        <f>ROUND(11750*Belarus*(1-H72),2)</f>
        <v>11750</v>
      </c>
      <c r="C22" s="87">
        <f>ROUND(14150*Belarus*(1-H72),2)</f>
        <v>14150</v>
      </c>
      <c r="D22" s="87">
        <f>ROUND(15000*Belarus*(1-H72),2)</f>
        <v>15000</v>
      </c>
      <c r="E22" s="87">
        <f>ROUND(15650*Belarus*(1-H72),2)</f>
        <v>15650</v>
      </c>
      <c r="F22" s="87">
        <f>ROUND(15650*Belarus*(1-H72),2)</f>
        <v>15650</v>
      </c>
      <c r="G22" s="87">
        <f>ROUND(16450*Belarus*(1-H72),2)</f>
        <v>16450</v>
      </c>
      <c r="H22" s="87">
        <f>ROUND(18300*Belarus*(1-H72),2)</f>
        <v>18300</v>
      </c>
      <c r="I22" s="88" t="s">
        <v>369</v>
      </c>
      <c r="J22" s="1514">
        <f>ROUND(19500*Belarus*(1-H72),2)</f>
        <v>19500</v>
      </c>
      <c r="K22" s="1516"/>
      <c r="L22" s="1514" t="s">
        <v>369</v>
      </c>
      <c r="M22" s="1516"/>
      <c r="N22" s="1514">
        <f>ROUND(20650*Belarus*(1-H72),2)</f>
        <v>20650</v>
      </c>
      <c r="O22" s="1516"/>
      <c r="P22" s="1514" t="s">
        <v>369</v>
      </c>
      <c r="Q22" s="1516"/>
    </row>
    <row r="23" spans="1:17" s="289" customFormat="1" ht="12.75">
      <c r="A23" s="421" t="s">
        <v>4231</v>
      </c>
      <c r="B23" s="87" t="s">
        <v>369</v>
      </c>
      <c r="C23" s="87" t="s">
        <v>369</v>
      </c>
      <c r="D23" s="87" t="s">
        <v>369</v>
      </c>
      <c r="E23" s="87">
        <f>ROUND(12600*Belarus*(1-H72),2)</f>
        <v>12600</v>
      </c>
      <c r="F23" s="87" t="s">
        <v>369</v>
      </c>
      <c r="G23" s="87" t="s">
        <v>369</v>
      </c>
      <c r="H23" s="87" t="s">
        <v>369</v>
      </c>
      <c r="I23" s="88" t="s">
        <v>369</v>
      </c>
      <c r="J23" s="1514" t="s">
        <v>369</v>
      </c>
      <c r="K23" s="1516"/>
      <c r="L23" s="1514" t="s">
        <v>369</v>
      </c>
      <c r="M23" s="1516"/>
      <c r="N23" s="1514" t="s">
        <v>369</v>
      </c>
      <c r="O23" s="1516"/>
      <c r="P23" s="1514" t="s">
        <v>369</v>
      </c>
      <c r="Q23" s="1516"/>
    </row>
    <row r="24" spans="1:17" s="52" customFormat="1" ht="12.75">
      <c r="A24" s="1116" t="s">
        <v>2145</v>
      </c>
      <c r="B24" s="1635"/>
      <c r="C24" s="1635"/>
      <c r="D24" s="1635"/>
      <c r="E24" s="1635"/>
      <c r="F24" s="1635"/>
      <c r="G24" s="1635"/>
      <c r="H24" s="1635"/>
      <c r="I24" s="1635"/>
      <c r="J24" s="1635"/>
      <c r="K24" s="1635"/>
      <c r="L24" s="1635"/>
      <c r="M24" s="1635"/>
      <c r="N24" s="1635"/>
      <c r="O24" s="1635"/>
      <c r="P24" s="1635"/>
      <c r="Q24" s="1636"/>
    </row>
    <row r="25" spans="1:17" s="289" customFormat="1" ht="12.75">
      <c r="A25" s="421" t="s">
        <v>2146</v>
      </c>
      <c r="B25" s="87">
        <f>ROUND(18350*Belarus*(1-E72),2)</f>
        <v>18350</v>
      </c>
      <c r="C25" s="87">
        <f>ROUND(21100*Belarus*(1-E72),2)</f>
        <v>21100</v>
      </c>
      <c r="D25" s="87">
        <f>ROUND(22350*Belarus*(1-E72),2)</f>
        <v>22350</v>
      </c>
      <c r="E25" s="87">
        <f>ROUND(23300*Belarus*(1-E72),2)</f>
        <v>23300</v>
      </c>
      <c r="F25" s="87">
        <f>ROUND(23300*Belarus*(1-E72),2)</f>
        <v>23300</v>
      </c>
      <c r="G25" s="87">
        <f>ROUND(24800*Belarus*(1-E72),2)</f>
        <v>24800</v>
      </c>
      <c r="H25" s="87">
        <f>ROUND(27300*Belarus*(1-E72),2)</f>
        <v>27300</v>
      </c>
      <c r="I25" s="88">
        <f>ROUND(30750*Belarus*(1-E72),2)</f>
        <v>30750</v>
      </c>
      <c r="J25" s="1514">
        <f>ROUND(29050*Belarus*(1-E72),2)</f>
        <v>29050</v>
      </c>
      <c r="K25" s="1516"/>
      <c r="L25" s="1514">
        <f>ROUND(31000*Belarus*(1-E72),2)</f>
        <v>31000</v>
      </c>
      <c r="M25" s="1516"/>
      <c r="N25" s="1514">
        <f>ROUND(30500*Belarus*(1-E72),2)</f>
        <v>30500</v>
      </c>
      <c r="O25" s="1516"/>
      <c r="P25" s="1514">
        <f>ROUND(34000*Belarus*(1-E72),2)</f>
        <v>34000</v>
      </c>
      <c r="Q25" s="1516"/>
    </row>
    <row r="26" spans="1:17" s="289" customFormat="1" ht="12.75">
      <c r="A26" s="421" t="s">
        <v>2147</v>
      </c>
      <c r="B26" s="87">
        <f>ROUND(18350*Belarus*(1-E72),2)</f>
        <v>18350</v>
      </c>
      <c r="C26" s="87" t="s">
        <v>369</v>
      </c>
      <c r="D26" s="87" t="s">
        <v>369</v>
      </c>
      <c r="E26" s="87">
        <f>ROUND(23300*Belarus*(1-E72),2)</f>
        <v>23300</v>
      </c>
      <c r="F26" s="87">
        <f>ROUND(23300*Belarus*(1-E72),2)</f>
        <v>23300</v>
      </c>
      <c r="G26" s="87">
        <f>ROUND(24800*Belarus*(1-E72),2)</f>
        <v>24800</v>
      </c>
      <c r="H26" s="87">
        <f>ROUND(27300*Belarus*(1-E72),2)</f>
        <v>27300</v>
      </c>
      <c r="I26" s="88" t="s">
        <v>369</v>
      </c>
      <c r="J26" s="1514">
        <f>ROUND(29050*Belarus*(1-E72),2)</f>
        <v>29050</v>
      </c>
      <c r="K26" s="1516"/>
      <c r="L26" s="1514">
        <f>ROUND(31000*Belarus*(1-E72),2)</f>
        <v>31000</v>
      </c>
      <c r="M26" s="1516"/>
      <c r="N26" s="1514" t="s">
        <v>369</v>
      </c>
      <c r="O26" s="1516"/>
      <c r="P26" s="1514">
        <f>ROUND(34000*Belarus*(1-E72),2)</f>
        <v>34000</v>
      </c>
      <c r="Q26" s="1516"/>
    </row>
    <row r="27" spans="1:17" s="289" customFormat="1" ht="12.75">
      <c r="A27" s="421" t="s">
        <v>2148</v>
      </c>
      <c r="B27" s="87" t="s">
        <v>369</v>
      </c>
      <c r="C27" s="87" t="s">
        <v>369</v>
      </c>
      <c r="D27" s="87" t="s">
        <v>369</v>
      </c>
      <c r="E27" s="87">
        <f>ROUND(23300*Belarus*(1-E72),2)</f>
        <v>23300</v>
      </c>
      <c r="F27" s="87" t="s">
        <v>369</v>
      </c>
      <c r="G27" s="87">
        <f>ROUND(24800*Belarus*(1-E72),2)</f>
        <v>24800</v>
      </c>
      <c r="H27" s="87">
        <f>ROUND(27300*Belarus*(1-E72),2)</f>
        <v>27300</v>
      </c>
      <c r="I27" s="88" t="s">
        <v>369</v>
      </c>
      <c r="J27" s="1514" t="s">
        <v>369</v>
      </c>
      <c r="K27" s="1516"/>
      <c r="L27" s="1514">
        <f>ROUND(31000*Belarus*(1-E72),2)</f>
        <v>31000</v>
      </c>
      <c r="M27" s="1516"/>
      <c r="N27" s="1514" t="s">
        <v>369</v>
      </c>
      <c r="O27" s="1516"/>
      <c r="P27" s="1514" t="s">
        <v>369</v>
      </c>
      <c r="Q27" s="1516"/>
    </row>
    <row r="28" spans="1:17" s="289" customFormat="1" ht="12.75">
      <c r="A28" s="211" t="s">
        <v>2149</v>
      </c>
      <c r="B28" s="87">
        <f>ROUND(23800*Belarus*(1-E72),2)</f>
        <v>23800</v>
      </c>
      <c r="C28" s="87" t="s">
        <v>369</v>
      </c>
      <c r="D28" s="87">
        <f>ROUND(28900*Belarus*(1-E72),2)</f>
        <v>28900</v>
      </c>
      <c r="E28" s="87">
        <f>ROUND(30200*Belarus*(1-E72),2)</f>
        <v>30200</v>
      </c>
      <c r="F28" s="87">
        <f>ROUND(30200*Belarus*(1-E72),2)</f>
        <v>30200</v>
      </c>
      <c r="G28" s="87">
        <f>ROUND(32150*Belarus*(1-E72),2)</f>
        <v>32150</v>
      </c>
      <c r="H28" s="87">
        <f>ROUND(35350*Belarus*(1-E72),2)</f>
        <v>35350</v>
      </c>
      <c r="I28" s="88">
        <f>ROUND(39850*Belarus*(1-E72),2)</f>
        <v>39850</v>
      </c>
      <c r="J28" s="1514">
        <f>ROUND(37600*Belarus*(1-E72),2)</f>
        <v>37600</v>
      </c>
      <c r="K28" s="1516"/>
      <c r="L28" s="1514" t="s">
        <v>369</v>
      </c>
      <c r="M28" s="1516"/>
      <c r="N28" s="1514">
        <f>ROUND(39550*Belarus*(1-E72),2)</f>
        <v>39550</v>
      </c>
      <c r="O28" s="1516"/>
      <c r="P28" s="1514" t="s">
        <v>369</v>
      </c>
      <c r="Q28" s="1516"/>
    </row>
    <row r="29" spans="1:17" s="52" customFormat="1" ht="12.75">
      <c r="A29" s="1634" t="s">
        <v>2150</v>
      </c>
      <c r="B29" s="1635"/>
      <c r="C29" s="1635"/>
      <c r="D29" s="1635"/>
      <c r="E29" s="1635"/>
      <c r="F29" s="1635"/>
      <c r="G29" s="1635"/>
      <c r="H29" s="1635"/>
      <c r="I29" s="1635"/>
      <c r="J29" s="1635"/>
      <c r="K29" s="1635"/>
      <c r="L29" s="1635"/>
      <c r="M29" s="1635"/>
      <c r="N29" s="1635"/>
      <c r="O29" s="1635"/>
      <c r="P29" s="1635"/>
      <c r="Q29" s="1636"/>
    </row>
    <row r="30" spans="1:17" s="289" customFormat="1" ht="12.75">
      <c r="A30" s="2298" t="s">
        <v>2151</v>
      </c>
      <c r="B30" s="2299"/>
      <c r="C30" s="2299"/>
      <c r="D30" s="2299"/>
      <c r="E30" s="2299"/>
      <c r="F30" s="2299"/>
      <c r="G30" s="2299"/>
      <c r="H30" s="2299"/>
      <c r="I30" s="2299"/>
      <c r="J30" s="1514">
        <f>ROUND(31000*Belarus*(1-J72),2)</f>
        <v>31000</v>
      </c>
      <c r="K30" s="1515"/>
      <c r="L30" s="1515"/>
      <c r="M30" s="1515"/>
      <c r="N30" s="1515"/>
      <c r="O30" s="1515"/>
      <c r="P30" s="1515"/>
      <c r="Q30" s="1516"/>
    </row>
    <row r="31" spans="1:17" s="289" customFormat="1" ht="12.75">
      <c r="A31" s="2298" t="s">
        <v>6521</v>
      </c>
      <c r="B31" s="2299"/>
      <c r="C31" s="2299"/>
      <c r="D31" s="2299"/>
      <c r="E31" s="2299"/>
      <c r="F31" s="2299"/>
      <c r="G31" s="2299"/>
      <c r="H31" s="2299"/>
      <c r="I31" s="2299"/>
      <c r="J31" s="1514">
        <f>ROUND(16500*Belarus*(1-J72),2)</f>
        <v>16500</v>
      </c>
      <c r="K31" s="1515"/>
      <c r="L31" s="1515"/>
      <c r="M31" s="1515"/>
      <c r="N31" s="1515"/>
      <c r="O31" s="1515"/>
      <c r="P31" s="1515"/>
      <c r="Q31" s="1516"/>
    </row>
    <row r="32" spans="1:17" s="52" customFormat="1" ht="12.75">
      <c r="A32" s="1634" t="s">
        <v>2152</v>
      </c>
      <c r="B32" s="1635"/>
      <c r="C32" s="1635"/>
      <c r="D32" s="1635"/>
      <c r="E32" s="1635"/>
      <c r="F32" s="1635"/>
      <c r="G32" s="1635"/>
      <c r="H32" s="1635"/>
      <c r="I32" s="1635"/>
      <c r="J32" s="1635"/>
      <c r="K32" s="1635"/>
      <c r="L32" s="1635"/>
      <c r="M32" s="1635"/>
      <c r="N32" s="1635"/>
      <c r="O32" s="1635"/>
      <c r="P32" s="1635"/>
      <c r="Q32" s="1636"/>
    </row>
    <row r="33" spans="1:17" s="52" customFormat="1" ht="12.75">
      <c r="A33" s="1634" t="s">
        <v>2153</v>
      </c>
      <c r="B33" s="1635"/>
      <c r="C33" s="1635"/>
      <c r="D33" s="1635"/>
      <c r="E33" s="1635"/>
      <c r="F33" s="1635"/>
      <c r="G33" s="1635"/>
      <c r="H33" s="1635"/>
      <c r="I33" s="1635"/>
      <c r="J33" s="1635"/>
      <c r="K33" s="1635"/>
      <c r="L33" s="1635"/>
      <c r="M33" s="1635"/>
      <c r="N33" s="1635"/>
      <c r="O33" s="1635"/>
      <c r="P33" s="1635"/>
      <c r="Q33" s="1636"/>
    </row>
    <row r="34" spans="1:17" s="289" customFormat="1" ht="12.75">
      <c r="A34" s="420" t="s">
        <v>2154</v>
      </c>
      <c r="B34" s="87">
        <f>ROUND(6600*Belarus*(1-E72),2)</f>
        <v>6600</v>
      </c>
      <c r="C34" s="87">
        <f>ROUND(6750*Belarus*(1-E72),2)</f>
        <v>6750</v>
      </c>
      <c r="D34" s="87">
        <f>ROUND(7000*Belarus*(1-E72),2)</f>
        <v>7000</v>
      </c>
      <c r="E34" s="87">
        <f>ROUND(7550*Belarus*(1-E72),2)</f>
        <v>7550</v>
      </c>
      <c r="F34" s="87">
        <f>ROUND(7550*Belarus*(1-E72),2)</f>
        <v>7550</v>
      </c>
      <c r="G34" s="87">
        <f>ROUND(7950*Belarus*(1-E72),2)</f>
        <v>7950</v>
      </c>
      <c r="H34" s="114">
        <f>ROUND(8450*Belarus*(1-E72),2)</f>
        <v>8450</v>
      </c>
      <c r="I34" s="88">
        <f>ROUND(9300*Belarus*(1-E72),2)</f>
        <v>9300</v>
      </c>
      <c r="J34" s="1514">
        <f>ROUND(9000*Belarus*(1-E72),2)</f>
        <v>9000</v>
      </c>
      <c r="K34" s="1516"/>
      <c r="L34" s="1514">
        <f>ROUND(9450*Belarus*(1-E72),2)</f>
        <v>9450</v>
      </c>
      <c r="M34" s="1516"/>
      <c r="N34" s="1514">
        <f>ROUND(9400*Belarus*(1-E72),2)</f>
        <v>9400</v>
      </c>
      <c r="O34" s="1516"/>
      <c r="P34" s="1514">
        <f>ROUND(9950*Belarus*(1-E72),2)</f>
        <v>9950</v>
      </c>
      <c r="Q34" s="1516"/>
    </row>
    <row r="35" spans="1:17" s="289" customFormat="1" ht="12.75">
      <c r="A35" s="421" t="s">
        <v>2155</v>
      </c>
      <c r="B35" s="87">
        <f>ROUND(5000*Belarus*(1-E72),2)</f>
        <v>5000</v>
      </c>
      <c r="C35" s="87">
        <f>ROUND(5150*Belarus*(1-E72),2)</f>
        <v>5150</v>
      </c>
      <c r="D35" s="87">
        <f>ROUND(5300*Belarus*(1-E72),2)</f>
        <v>5300</v>
      </c>
      <c r="E35" s="87">
        <f>ROUND(5750*Belarus*(1-E72),2)</f>
        <v>5750</v>
      </c>
      <c r="F35" s="87">
        <f>ROUND(5750*Belarus*(1-E72),2)</f>
        <v>5750</v>
      </c>
      <c r="G35" s="87">
        <f>ROUND(6050*Belarus*(1-E72),2)</f>
        <v>6050</v>
      </c>
      <c r="H35" s="87">
        <f>ROUND(6400*Belarus*(1-E72),2)</f>
        <v>6400</v>
      </c>
      <c r="I35" s="88">
        <f>ROUND(7100*Belarus*(1-E72),2)</f>
        <v>7100</v>
      </c>
      <c r="J35" s="1514">
        <f>ROUND(6850*Belarus*(1-E72),2)</f>
        <v>6850</v>
      </c>
      <c r="K35" s="1516"/>
      <c r="L35" s="1514">
        <f>ROUND(7200*Belarus*(1-E72),2)</f>
        <v>7200</v>
      </c>
      <c r="M35" s="1516"/>
      <c r="N35" s="1514">
        <f>ROUND(7150*Belarus*(1-E72),2)</f>
        <v>7150</v>
      </c>
      <c r="O35" s="1516"/>
      <c r="P35" s="1514">
        <f>ROUND(7550*Belarus*(1-E72),2)</f>
        <v>7550</v>
      </c>
      <c r="Q35" s="1516"/>
    </row>
    <row r="36" spans="1:17" s="52" customFormat="1" ht="12.75">
      <c r="A36" s="1634" t="s">
        <v>2156</v>
      </c>
      <c r="B36" s="1635"/>
      <c r="C36" s="1635"/>
      <c r="D36" s="1635"/>
      <c r="E36" s="1635"/>
      <c r="F36" s="1635"/>
      <c r="G36" s="1635"/>
      <c r="H36" s="1635"/>
      <c r="I36" s="1635"/>
      <c r="J36" s="1635"/>
      <c r="K36" s="1635"/>
      <c r="L36" s="1635"/>
      <c r="M36" s="1635"/>
      <c r="N36" s="1635"/>
      <c r="O36" s="1635"/>
      <c r="P36" s="1635"/>
      <c r="Q36" s="1636"/>
    </row>
    <row r="37" spans="1:17" s="289" customFormat="1" ht="12.75">
      <c r="A37" s="420" t="s">
        <v>4232</v>
      </c>
      <c r="B37" s="87" t="s">
        <v>369</v>
      </c>
      <c r="C37" s="87">
        <f>ROUND(4700*Belarus*(1-H72),2)</f>
        <v>4700</v>
      </c>
      <c r="D37" s="87" t="s">
        <v>369</v>
      </c>
      <c r="E37" s="87">
        <f>ROUND(5240*Belarus*(1-H72),2)</f>
        <v>5240</v>
      </c>
      <c r="F37" s="87" t="s">
        <v>369</v>
      </c>
      <c r="G37" s="87" t="s">
        <v>369</v>
      </c>
      <c r="H37" s="87" t="s">
        <v>369</v>
      </c>
      <c r="I37" s="88" t="s">
        <v>369</v>
      </c>
      <c r="J37" s="1514" t="s">
        <v>369</v>
      </c>
      <c r="K37" s="1516"/>
      <c r="L37" s="1514" t="s">
        <v>369</v>
      </c>
      <c r="M37" s="1516"/>
      <c r="N37" s="1514" t="s">
        <v>369</v>
      </c>
      <c r="O37" s="1516"/>
      <c r="P37" s="1514" t="s">
        <v>369</v>
      </c>
      <c r="Q37" s="1516"/>
    </row>
    <row r="38" spans="1:17" s="52" customFormat="1" ht="12.75">
      <c r="A38" s="1634" t="s">
        <v>2157</v>
      </c>
      <c r="B38" s="1635"/>
      <c r="C38" s="1635"/>
      <c r="D38" s="1635"/>
      <c r="E38" s="1635"/>
      <c r="F38" s="1635"/>
      <c r="G38" s="1635"/>
      <c r="H38" s="1635"/>
      <c r="I38" s="1635"/>
      <c r="J38" s="1635"/>
      <c r="K38" s="1635"/>
      <c r="L38" s="1635"/>
      <c r="M38" s="1635"/>
      <c r="N38" s="1635"/>
      <c r="O38" s="1635"/>
      <c r="P38" s="1635"/>
      <c r="Q38" s="1636"/>
    </row>
    <row r="39" spans="1:17" s="289" customFormat="1" ht="12.75">
      <c r="A39" s="420" t="s">
        <v>2158</v>
      </c>
      <c r="B39" s="1514">
        <f>ROUND(4950*Belarus*(1-E72),2)</f>
        <v>4950</v>
      </c>
      <c r="C39" s="1515"/>
      <c r="D39" s="1515"/>
      <c r="E39" s="1515"/>
      <c r="F39" s="1515"/>
      <c r="G39" s="1515"/>
      <c r="H39" s="1515"/>
      <c r="I39" s="1515"/>
      <c r="J39" s="1515"/>
      <c r="K39" s="1515"/>
      <c r="L39" s="1515"/>
      <c r="M39" s="1515"/>
      <c r="N39" s="1515"/>
      <c r="O39" s="1515"/>
      <c r="P39" s="1515"/>
      <c r="Q39" s="1516"/>
    </row>
    <row r="40" spans="1:17" s="289" customFormat="1" ht="12.75">
      <c r="A40" s="420" t="s">
        <v>2159</v>
      </c>
      <c r="B40" s="1514">
        <f>ROUND(3150*Belarus*(1-E72),2)</f>
        <v>3150</v>
      </c>
      <c r="C40" s="1515"/>
      <c r="D40" s="1515"/>
      <c r="E40" s="1515"/>
      <c r="F40" s="1515"/>
      <c r="G40" s="1515"/>
      <c r="H40" s="1515"/>
      <c r="I40" s="1515"/>
      <c r="J40" s="1515"/>
      <c r="K40" s="1515"/>
      <c r="L40" s="1515"/>
      <c r="M40" s="1515"/>
      <c r="N40" s="1515"/>
      <c r="O40" s="1515"/>
      <c r="P40" s="1515"/>
      <c r="Q40" s="1516"/>
    </row>
    <row r="41" spans="1:17" s="289" customFormat="1" ht="12.75">
      <c r="A41" s="420" t="s">
        <v>2160</v>
      </c>
      <c r="B41" s="1514">
        <f>ROUND(2000*Belarus*(1-E72),2)</f>
        <v>2000</v>
      </c>
      <c r="C41" s="1515"/>
      <c r="D41" s="1515"/>
      <c r="E41" s="1515"/>
      <c r="F41" s="1515"/>
      <c r="G41" s="1515"/>
      <c r="H41" s="1515"/>
      <c r="I41" s="1515"/>
      <c r="J41" s="1515"/>
      <c r="K41" s="1515"/>
      <c r="L41" s="1515"/>
      <c r="M41" s="1515"/>
      <c r="N41" s="1515"/>
      <c r="O41" s="1515"/>
      <c r="P41" s="1515"/>
      <c r="Q41" s="1516"/>
    </row>
    <row r="42" spans="1:17" s="52" customFormat="1" ht="12.75">
      <c r="A42" s="1634" t="s">
        <v>2161</v>
      </c>
      <c r="B42" s="1635"/>
      <c r="C42" s="1635"/>
      <c r="D42" s="1635"/>
      <c r="E42" s="1635"/>
      <c r="F42" s="1635"/>
      <c r="G42" s="1635"/>
      <c r="H42" s="1635"/>
      <c r="I42" s="1635"/>
      <c r="J42" s="1635"/>
      <c r="K42" s="1635"/>
      <c r="L42" s="1635"/>
      <c r="M42" s="1635"/>
      <c r="N42" s="1635"/>
      <c r="O42" s="1635"/>
      <c r="P42" s="1635"/>
      <c r="Q42" s="1636"/>
    </row>
    <row r="43" spans="1:17" s="289" customFormat="1" ht="12.75">
      <c r="A43" s="420" t="s">
        <v>2162</v>
      </c>
      <c r="B43" s="87">
        <f>ROUND(17500*Belarus*(1-E72),2)</f>
        <v>17500</v>
      </c>
      <c r="C43" s="87">
        <f>ROUND(17900*Belarus*(1-E72),2)</f>
        <v>17900</v>
      </c>
      <c r="D43" s="87">
        <f>ROUND(18500*Belarus*(1-E72),2)</f>
        <v>18500</v>
      </c>
      <c r="E43" s="87">
        <f>ROUND(19050*Belarus*(1-E72),2)</f>
        <v>19050</v>
      </c>
      <c r="F43" s="87">
        <f>ROUND(18650*Belarus*(1-E72),2)</f>
        <v>18650</v>
      </c>
      <c r="G43" s="87">
        <f>ROUND(19450*Belarus*(1-E72),2)</f>
        <v>19450</v>
      </c>
      <c r="H43" s="87">
        <f>ROUND(20050*Belarus*(1-E72),2)</f>
        <v>20050</v>
      </c>
      <c r="I43" s="88">
        <f>ROUND(21000*Belarus*(1-E72),2)</f>
        <v>21000</v>
      </c>
      <c r="J43" s="1514">
        <f>ROUND(20050*Belarus*(1-E72),2)</f>
        <v>20050</v>
      </c>
      <c r="K43" s="1516"/>
      <c r="L43" s="1514">
        <f>ROUND(20800*Belarus*(1-E72),2)</f>
        <v>20800</v>
      </c>
      <c r="M43" s="1516"/>
      <c r="N43" s="1514">
        <f>ROUND(20800*Belarus*(1-E72),2)</f>
        <v>20800</v>
      </c>
      <c r="O43" s="1516"/>
      <c r="P43" s="1514">
        <f>ROUND(21400*Belarus*(1-E72),2)</f>
        <v>21400</v>
      </c>
      <c r="Q43" s="1516"/>
    </row>
    <row r="44" spans="1:17" s="52" customFormat="1" ht="12.75">
      <c r="A44" s="1634" t="s">
        <v>2163</v>
      </c>
      <c r="B44" s="1635"/>
      <c r="C44" s="1635"/>
      <c r="D44" s="1635"/>
      <c r="E44" s="1635"/>
      <c r="F44" s="1635"/>
      <c r="G44" s="1635"/>
      <c r="H44" s="1635"/>
      <c r="I44" s="1635"/>
      <c r="J44" s="1635"/>
      <c r="K44" s="1635"/>
      <c r="L44" s="1635"/>
      <c r="M44" s="1635"/>
      <c r="N44" s="1635"/>
      <c r="O44" s="1635"/>
      <c r="P44" s="1635"/>
      <c r="Q44" s="1636"/>
    </row>
    <row r="45" spans="1:17" s="289" customFormat="1" ht="12.75">
      <c r="A45" s="427" t="s">
        <v>2164</v>
      </c>
      <c r="B45" s="87">
        <f>ROUND(13200*Belarus*(1-H72),2)</f>
        <v>13200</v>
      </c>
      <c r="C45" s="87" t="s">
        <v>369</v>
      </c>
      <c r="D45" s="87" t="s">
        <v>369</v>
      </c>
      <c r="E45" s="87">
        <f>ROUND(15100*Belarus*(1-H72),2)</f>
        <v>15100</v>
      </c>
      <c r="F45" s="87">
        <f>ROUND(15100*Belarus*(1-H72),2)</f>
        <v>15100</v>
      </c>
      <c r="G45" s="87">
        <f>ROUND(15900*Belarus*(1-H72),2)</f>
        <v>15900</v>
      </c>
      <c r="H45" s="87">
        <f>ROUND(16850*Belarus*(1-H72),2)</f>
        <v>16850</v>
      </c>
      <c r="I45" s="88">
        <f>ROUND(18600*Belarus*(1-H72),2)</f>
        <v>18600</v>
      </c>
      <c r="J45" s="1514" t="s">
        <v>369</v>
      </c>
      <c r="K45" s="1516"/>
      <c r="L45" s="1514">
        <f>ROUND(18900*Belarus*(1-H72),2)</f>
        <v>18900</v>
      </c>
      <c r="M45" s="1516"/>
      <c r="N45" s="1514" t="s">
        <v>369</v>
      </c>
      <c r="O45" s="1516"/>
      <c r="P45" s="1514">
        <f>ROUND(19900*Belarus*(1-H72),2)</f>
        <v>19900</v>
      </c>
      <c r="Q45" s="1516"/>
    </row>
    <row r="46" spans="1:17" s="289" customFormat="1" ht="12.75">
      <c r="A46" s="427" t="s">
        <v>2165</v>
      </c>
      <c r="B46" s="87">
        <f>ROUND(10050*Belarus*(1-H72),2)</f>
        <v>10050</v>
      </c>
      <c r="C46" s="87" t="s">
        <v>369</v>
      </c>
      <c r="D46" s="87" t="s">
        <v>369</v>
      </c>
      <c r="E46" s="87">
        <f>ROUND(11500*Belarus*(1-H72),2)</f>
        <v>11500</v>
      </c>
      <c r="F46" s="87">
        <f>ROUND(11500*Belarus*(1-H72),2)</f>
        <v>11500</v>
      </c>
      <c r="G46" s="87">
        <f>ROUND(12100*Belarus*(1-H72),2)</f>
        <v>12100</v>
      </c>
      <c r="H46" s="87">
        <f>ROUND(12850*Belarus*(1-H72),2)</f>
        <v>12850</v>
      </c>
      <c r="I46" s="88">
        <f>ROUND(14150*Belarus*(1-H72),2)</f>
        <v>14150</v>
      </c>
      <c r="J46" s="1514" t="s">
        <v>369</v>
      </c>
      <c r="K46" s="1516"/>
      <c r="L46" s="1514">
        <f>ROUND(14400*Belarus*(1-H72),2)</f>
        <v>14400</v>
      </c>
      <c r="M46" s="1516"/>
      <c r="N46" s="1514" t="s">
        <v>369</v>
      </c>
      <c r="O46" s="1516"/>
      <c r="P46" s="1514">
        <f>ROUND(15150*Belarus*(1-H72),2)</f>
        <v>15150</v>
      </c>
      <c r="Q46" s="1516"/>
    </row>
    <row r="47" spans="1:17" s="289" customFormat="1" ht="12.75">
      <c r="A47" s="427" t="s">
        <v>6522</v>
      </c>
      <c r="B47" s="87" t="s">
        <v>369</v>
      </c>
      <c r="C47" s="87" t="s">
        <v>369</v>
      </c>
      <c r="D47" s="87" t="s">
        <v>369</v>
      </c>
      <c r="E47" s="87" t="s">
        <v>369</v>
      </c>
      <c r="F47" s="87" t="s">
        <v>369</v>
      </c>
      <c r="G47" s="87">
        <f>ROUND((7950+15900)*Belarus*(1-H72),2)</f>
        <v>23850</v>
      </c>
      <c r="H47" s="114">
        <f>ROUND((8450+16850)*Belarus*(1-H72),2)</f>
        <v>25300</v>
      </c>
      <c r="I47" s="88">
        <f>ROUND((9300+18600)*Belarus*(1-H72),2)</f>
        <v>27900</v>
      </c>
      <c r="J47" s="1514" t="s">
        <v>369</v>
      </c>
      <c r="K47" s="1516"/>
      <c r="L47" s="1514" t="s">
        <v>369</v>
      </c>
      <c r="M47" s="1516"/>
      <c r="N47" s="1514" t="s">
        <v>369</v>
      </c>
      <c r="O47" s="1516"/>
      <c r="P47" s="1514" t="s">
        <v>369</v>
      </c>
      <c r="Q47" s="1516"/>
    </row>
    <row r="48" spans="1:17" s="289" customFormat="1" ht="12.75">
      <c r="A48" s="427" t="s">
        <v>6523</v>
      </c>
      <c r="B48" s="87" t="s">
        <v>369</v>
      </c>
      <c r="C48" s="87" t="s">
        <v>369</v>
      </c>
      <c r="D48" s="87" t="s">
        <v>369</v>
      </c>
      <c r="E48" s="87" t="s">
        <v>369</v>
      </c>
      <c r="F48" s="87" t="s">
        <v>369</v>
      </c>
      <c r="G48" s="87">
        <f>ROUND((6050+12100)*Belarus*(1-H72),2)</f>
        <v>18150</v>
      </c>
      <c r="H48" s="87">
        <f>ROUND((6400+12850)*Belarus*(1-H72),2)</f>
        <v>19250</v>
      </c>
      <c r="I48" s="88">
        <f>ROUND((7100+14150)*Belarus*(1-H72),2)</f>
        <v>21250</v>
      </c>
      <c r="J48" s="1514" t="s">
        <v>369</v>
      </c>
      <c r="K48" s="1516"/>
      <c r="L48" s="1514" t="s">
        <v>369</v>
      </c>
      <c r="M48" s="1516"/>
      <c r="N48" s="1514" t="s">
        <v>369</v>
      </c>
      <c r="O48" s="1516"/>
      <c r="P48" s="1514" t="s">
        <v>369</v>
      </c>
      <c r="Q48" s="1516"/>
    </row>
    <row r="49" spans="1:17" s="289" customFormat="1" ht="12.75">
      <c r="A49" s="427" t="s">
        <v>6524</v>
      </c>
      <c r="B49" s="87">
        <f>ROUND((6600+13200)*Belarus*(1-H72),2)</f>
        <v>19800</v>
      </c>
      <c r="C49" s="87" t="s">
        <v>369</v>
      </c>
      <c r="D49" s="87" t="s">
        <v>369</v>
      </c>
      <c r="E49" s="87">
        <f>ROUND((7550+15100)*Belarus*(1-H72),2)</f>
        <v>22650</v>
      </c>
      <c r="F49" s="87">
        <f>ROUND((7550+15100)*Belarus*(1-H72),2)</f>
        <v>22650</v>
      </c>
      <c r="G49" s="87">
        <f>ROUND((7950+15900)*Belarus*(1-H72),2)</f>
        <v>23850</v>
      </c>
      <c r="H49" s="87">
        <f>ROUND((8450+16850)*Belarus*(1-H72),2)</f>
        <v>25300</v>
      </c>
      <c r="I49" s="88">
        <f>ROUND((9300+18600)*Belarus*(1-H72),2)</f>
        <v>27900</v>
      </c>
      <c r="J49" s="1514" t="s">
        <v>369</v>
      </c>
      <c r="K49" s="1516"/>
      <c r="L49" s="1514">
        <f>ROUND((9450+18900)*Belarus*(1-H72),2)</f>
        <v>28350</v>
      </c>
      <c r="M49" s="1516"/>
      <c r="N49" s="1514" t="s">
        <v>369</v>
      </c>
      <c r="O49" s="1516"/>
      <c r="P49" s="1514">
        <f>ROUND((9950+19900)*Belarus*(1-H72),2)</f>
        <v>29850</v>
      </c>
      <c r="Q49" s="1516"/>
    </row>
    <row r="50" spans="1:17" s="289" customFormat="1" ht="12.75">
      <c r="A50" s="427" t="s">
        <v>6525</v>
      </c>
      <c r="B50" s="87">
        <f>ROUND((5000+10050)*Belarus*(1-H72),2)</f>
        <v>15050</v>
      </c>
      <c r="C50" s="87" t="s">
        <v>369</v>
      </c>
      <c r="D50" s="87" t="s">
        <v>369</v>
      </c>
      <c r="E50" s="87">
        <f>ROUND((5750+11500)*Belarus*(1-H72),2)</f>
        <v>17250</v>
      </c>
      <c r="F50" s="87">
        <f>ROUND((5750+11500)*Belarus*(1-H72),2)</f>
        <v>17250</v>
      </c>
      <c r="G50" s="87">
        <f>ROUND((6050+12100)*Belarus*(1-H72),2)</f>
        <v>18150</v>
      </c>
      <c r="H50" s="87">
        <f>ROUND((6400+12850)*Belarus*(1-H72),2)</f>
        <v>19250</v>
      </c>
      <c r="I50" s="88">
        <f>ROUND((7100+14150)*Belarus*(1-H72),2)</f>
        <v>21250</v>
      </c>
      <c r="J50" s="1514" t="s">
        <v>369</v>
      </c>
      <c r="K50" s="1516"/>
      <c r="L50" s="1514">
        <f>ROUND((7200+14400)*Belarus*(1-H72),2)</f>
        <v>21600</v>
      </c>
      <c r="M50" s="1516"/>
      <c r="N50" s="1514" t="s">
        <v>369</v>
      </c>
      <c r="O50" s="1516"/>
      <c r="P50" s="1514">
        <f>ROUND((7550+15150)*Belarus*(1-H72),2)</f>
        <v>22700</v>
      </c>
      <c r="Q50" s="1516"/>
    </row>
    <row r="51" spans="1:17" s="52" customFormat="1" ht="12.75">
      <c r="A51" s="1634" t="s">
        <v>2166</v>
      </c>
      <c r="B51" s="1635"/>
      <c r="C51" s="1635"/>
      <c r="D51" s="1635"/>
      <c r="E51" s="1635"/>
      <c r="F51" s="1635"/>
      <c r="G51" s="1635"/>
      <c r="H51" s="1635"/>
      <c r="I51" s="1635"/>
      <c r="J51" s="1635"/>
      <c r="K51" s="1635"/>
      <c r="L51" s="1635"/>
      <c r="M51" s="1635"/>
      <c r="N51" s="1635"/>
      <c r="O51" s="1635"/>
      <c r="P51" s="1635"/>
      <c r="Q51" s="1636"/>
    </row>
    <row r="52" spans="1:17" s="289" customFormat="1" ht="12.75">
      <c r="A52" s="427" t="s">
        <v>2167</v>
      </c>
      <c r="B52" s="1514">
        <f>ROUND(19550*Belarus*(1-N72),2)</f>
        <v>19550</v>
      </c>
      <c r="C52" s="1515"/>
      <c r="D52" s="1515"/>
      <c r="E52" s="1515"/>
      <c r="F52" s="1515"/>
      <c r="G52" s="1515"/>
      <c r="H52" s="1515"/>
      <c r="I52" s="1515"/>
      <c r="J52" s="1515"/>
      <c r="K52" s="1515"/>
      <c r="L52" s="1515"/>
      <c r="M52" s="1515"/>
      <c r="N52" s="1515"/>
      <c r="O52" s="1515"/>
      <c r="P52" s="1515"/>
      <c r="Q52" s="1516"/>
    </row>
    <row r="53" spans="1:17" s="289" customFormat="1" ht="12.75">
      <c r="A53" s="427" t="s">
        <v>2168</v>
      </c>
      <c r="B53" s="1514">
        <f>ROUND(12100*Belarus*(1-N72),2)</f>
        <v>12100</v>
      </c>
      <c r="C53" s="1515"/>
      <c r="D53" s="1515"/>
      <c r="E53" s="1515"/>
      <c r="F53" s="1515"/>
      <c r="G53" s="1515"/>
      <c r="H53" s="1515"/>
      <c r="I53" s="1515"/>
      <c r="J53" s="1515"/>
      <c r="K53" s="1515"/>
      <c r="L53" s="1515"/>
      <c r="M53" s="1515"/>
      <c r="N53" s="1515"/>
      <c r="O53" s="1515"/>
      <c r="P53" s="1515"/>
      <c r="Q53" s="1516"/>
    </row>
    <row r="54" spans="1:17" s="289" customFormat="1" ht="12.75">
      <c r="A54" s="427" t="s">
        <v>2169</v>
      </c>
      <c r="B54" s="1514">
        <f>ROUND(14000*Belarus*(1-N72),2)</f>
        <v>14000</v>
      </c>
      <c r="C54" s="1515"/>
      <c r="D54" s="1515"/>
      <c r="E54" s="1515"/>
      <c r="F54" s="1515"/>
      <c r="G54" s="1515"/>
      <c r="H54" s="1515"/>
      <c r="I54" s="1515"/>
      <c r="J54" s="1515"/>
      <c r="K54" s="1515"/>
      <c r="L54" s="1515"/>
      <c r="M54" s="1515"/>
      <c r="N54" s="1515"/>
      <c r="O54" s="1515"/>
      <c r="P54" s="1515"/>
      <c r="Q54" s="1516"/>
    </row>
    <row r="55" spans="1:17" s="289" customFormat="1" ht="12.75">
      <c r="A55" s="427" t="s">
        <v>2170</v>
      </c>
      <c r="B55" s="1514">
        <f>ROUND(19550*Belarus*(1-N72),2)</f>
        <v>19550</v>
      </c>
      <c r="C55" s="1515"/>
      <c r="D55" s="1515"/>
      <c r="E55" s="1515"/>
      <c r="F55" s="1515"/>
      <c r="G55" s="1515"/>
      <c r="H55" s="1515"/>
      <c r="I55" s="1515"/>
      <c r="J55" s="1515"/>
      <c r="K55" s="1515"/>
      <c r="L55" s="1515"/>
      <c r="M55" s="1515"/>
      <c r="N55" s="1515"/>
      <c r="O55" s="1515"/>
      <c r="P55" s="1515"/>
      <c r="Q55" s="1516"/>
    </row>
    <row r="56" spans="1:17" s="52" customFormat="1" ht="12.75">
      <c r="A56" s="1634" t="s">
        <v>2074</v>
      </c>
      <c r="B56" s="1635"/>
      <c r="C56" s="1635"/>
      <c r="D56" s="1635"/>
      <c r="E56" s="1635"/>
      <c r="F56" s="1635"/>
      <c r="G56" s="1635"/>
      <c r="H56" s="1635"/>
      <c r="I56" s="1635"/>
      <c r="J56" s="1635"/>
      <c r="K56" s="1635"/>
      <c r="L56" s="1635"/>
      <c r="M56" s="1635"/>
      <c r="N56" s="1635"/>
      <c r="O56" s="1635"/>
      <c r="P56" s="1635"/>
      <c r="Q56" s="1636"/>
    </row>
    <row r="57" spans="1:17" s="52" customFormat="1" ht="12.75" customHeight="1">
      <c r="A57" s="170" t="s">
        <v>2171</v>
      </c>
      <c r="B57" s="171" t="s">
        <v>2172</v>
      </c>
      <c r="C57" s="170" t="s">
        <v>2173</v>
      </c>
      <c r="D57" s="171" t="s">
        <v>2174</v>
      </c>
      <c r="E57" s="171" t="s">
        <v>2175</v>
      </c>
      <c r="F57" s="1689" t="s">
        <v>2176</v>
      </c>
      <c r="G57" s="1690"/>
      <c r="H57" s="1689" t="s">
        <v>2177</v>
      </c>
      <c r="I57" s="2300"/>
      <c r="J57" s="1689" t="s">
        <v>2178</v>
      </c>
      <c r="K57" s="2300"/>
      <c r="L57" s="2300"/>
      <c r="M57" s="1690"/>
      <c r="N57" s="1687" t="s">
        <v>2179</v>
      </c>
      <c r="O57" s="2301"/>
      <c r="P57" s="2301"/>
      <c r="Q57" s="1688"/>
    </row>
    <row r="58" spans="1:17" s="289" customFormat="1" ht="25.5">
      <c r="A58" s="428" t="s">
        <v>2180</v>
      </c>
      <c r="B58" s="88">
        <f>ROUND(9650*Belarus*(1-N72),2)</f>
        <v>9650</v>
      </c>
      <c r="C58" s="88">
        <f>ROUND(9650*Belarus*(1-N72),2)</f>
        <v>9650</v>
      </c>
      <c r="D58" s="87" t="s">
        <v>369</v>
      </c>
      <c r="E58" s="88" t="s">
        <v>369</v>
      </c>
      <c r="F58" s="1514">
        <f>ROUND(3400*Belarus*(1-N72),2)</f>
        <v>3400</v>
      </c>
      <c r="G58" s="1516"/>
      <c r="H58" s="1514" t="s">
        <v>369</v>
      </c>
      <c r="I58" s="1515"/>
      <c r="J58" s="1514" t="s">
        <v>369</v>
      </c>
      <c r="K58" s="1515"/>
      <c r="L58" s="1515"/>
      <c r="M58" s="1516"/>
      <c r="N58" s="1514">
        <f>ROUND(1250*Belarus*(1-N72),2)</f>
        <v>1250</v>
      </c>
      <c r="O58" s="1515"/>
      <c r="P58" s="1515"/>
      <c r="Q58" s="1516"/>
    </row>
    <row r="59" spans="1:17" s="289" customFormat="1" ht="25.5">
      <c r="A59" s="428" t="s">
        <v>2181</v>
      </c>
      <c r="B59" s="88">
        <f>ROUND(30050*Belarus*(1-N72),2)</f>
        <v>30050</v>
      </c>
      <c r="C59" s="88">
        <f>ROUND(30050*Belarus*(1-N72),2)</f>
        <v>30050</v>
      </c>
      <c r="D59" s="88" t="s">
        <v>369</v>
      </c>
      <c r="E59" s="88" t="s">
        <v>369</v>
      </c>
      <c r="F59" s="1514" t="s">
        <v>369</v>
      </c>
      <c r="G59" s="1516"/>
      <c r="H59" s="1514" t="s">
        <v>369</v>
      </c>
      <c r="I59" s="1515"/>
      <c r="J59" s="1514">
        <f>ROUND(3400*Belarus*(1-N72),2)</f>
        <v>3400</v>
      </c>
      <c r="K59" s="1515"/>
      <c r="L59" s="1515"/>
      <c r="M59" s="1516"/>
      <c r="N59" s="1514">
        <f>ROUND(1250*Belarus*(1-N72),2)</f>
        <v>1250</v>
      </c>
      <c r="O59" s="1515"/>
      <c r="P59" s="1515"/>
      <c r="Q59" s="1516"/>
    </row>
    <row r="60" spans="1:17" s="289" customFormat="1" ht="25.5">
      <c r="A60" s="428" t="s">
        <v>2182</v>
      </c>
      <c r="B60" s="88">
        <f>ROUND(11900*Belarus*(1-N72),2)</f>
        <v>11900</v>
      </c>
      <c r="C60" s="88" t="s">
        <v>369</v>
      </c>
      <c r="D60" s="88" t="s">
        <v>369</v>
      </c>
      <c r="E60" s="88" t="s">
        <v>369</v>
      </c>
      <c r="F60" s="1514">
        <f>ROUND(3400*Belarus*(1-N72),2)</f>
        <v>3400</v>
      </c>
      <c r="G60" s="1516"/>
      <c r="H60" s="1514" t="s">
        <v>369</v>
      </c>
      <c r="I60" s="1515"/>
      <c r="J60" s="1514" t="s">
        <v>369</v>
      </c>
      <c r="K60" s="1515"/>
      <c r="L60" s="1515"/>
      <c r="M60" s="1516"/>
      <c r="N60" s="1514" t="s">
        <v>369</v>
      </c>
      <c r="O60" s="1515"/>
      <c r="P60" s="1515"/>
      <c r="Q60" s="1516"/>
    </row>
    <row r="61" spans="1:17" s="289" customFormat="1" ht="25.5">
      <c r="A61" s="428" t="s">
        <v>2183</v>
      </c>
      <c r="B61" s="88" t="s">
        <v>369</v>
      </c>
      <c r="C61" s="88" t="s">
        <v>369</v>
      </c>
      <c r="D61" s="88">
        <f>ROUND(16150*Belarus*(1-N72),2)</f>
        <v>16150</v>
      </c>
      <c r="E61" s="88">
        <f>ROUND(16150*Belarus*(1-N72),2)</f>
        <v>16150</v>
      </c>
      <c r="F61" s="1514">
        <f>ROUND(3400*Belarus*(1-N72),2)</f>
        <v>3400</v>
      </c>
      <c r="G61" s="1516"/>
      <c r="H61" s="1514" t="s">
        <v>369</v>
      </c>
      <c r="I61" s="1515"/>
      <c r="J61" s="1514" t="s">
        <v>369</v>
      </c>
      <c r="K61" s="1515"/>
      <c r="L61" s="1515"/>
      <c r="M61" s="1516"/>
      <c r="N61" s="1514" t="s">
        <v>369</v>
      </c>
      <c r="O61" s="1515"/>
      <c r="P61" s="1515"/>
      <c r="Q61" s="1516"/>
    </row>
    <row r="62" spans="1:17" s="289" customFormat="1" ht="25.5">
      <c r="A62" s="428" t="s">
        <v>2184</v>
      </c>
      <c r="B62" s="88">
        <f>ROUND(19400*Belarus*(1-N72),2)</f>
        <v>19400</v>
      </c>
      <c r="C62" s="88">
        <f>ROUND(19400*Belarus*(1-N72),2)</f>
        <v>19400</v>
      </c>
      <c r="D62" s="88" t="s">
        <v>369</v>
      </c>
      <c r="E62" s="88" t="s">
        <v>369</v>
      </c>
      <c r="F62" s="1514" t="s">
        <v>369</v>
      </c>
      <c r="G62" s="1516"/>
      <c r="H62" s="1514">
        <f>ROUND(3400*Belarus*(1-N72),2)</f>
        <v>3400</v>
      </c>
      <c r="I62" s="1515"/>
      <c r="J62" s="1514" t="s">
        <v>369</v>
      </c>
      <c r="K62" s="1515"/>
      <c r="L62" s="1515"/>
      <c r="M62" s="1516"/>
      <c r="N62" s="1514">
        <f>ROUND(1250*Belarus*(1-N72),2)</f>
        <v>1250</v>
      </c>
      <c r="O62" s="1515"/>
      <c r="P62" s="1515"/>
      <c r="Q62" s="1516"/>
    </row>
    <row r="63" spans="1:17" s="52" customFormat="1" ht="12.75">
      <c r="A63" s="1742"/>
      <c r="B63" s="1742"/>
      <c r="C63" s="1742"/>
      <c r="D63" s="1742"/>
      <c r="E63" s="1742"/>
      <c r="F63" s="1742"/>
      <c r="G63" s="1742"/>
      <c r="H63" s="1742"/>
      <c r="I63" s="1742"/>
      <c r="J63" s="1742"/>
      <c r="K63" s="1742"/>
      <c r="L63" s="1742"/>
      <c r="M63" s="1742"/>
      <c r="N63" s="1742"/>
      <c r="O63" s="1742"/>
      <c r="P63" s="1742"/>
      <c r="Q63" s="1742"/>
    </row>
    <row r="64" spans="1:17" s="52" customFormat="1" ht="12.75">
      <c r="A64" s="1332" t="s">
        <v>2105</v>
      </c>
      <c r="B64" s="1332"/>
      <c r="C64" s="1332"/>
      <c r="D64" s="1332"/>
      <c r="E64" s="1332"/>
      <c r="F64" s="1332"/>
      <c r="G64" s="1332"/>
      <c r="H64" s="1332"/>
      <c r="I64" s="1332"/>
      <c r="J64" s="1332"/>
      <c r="K64" s="1332"/>
      <c r="L64" s="1332"/>
      <c r="M64" s="1332"/>
      <c r="N64" s="1332"/>
      <c r="O64" s="1332"/>
      <c r="P64" s="1332"/>
      <c r="Q64" s="1332"/>
    </row>
    <row r="65" spans="1:17" s="52" customFormat="1" ht="12.75">
      <c r="A65" s="1332" t="s">
        <v>2185</v>
      </c>
      <c r="B65" s="1332"/>
      <c r="C65" s="1332"/>
      <c r="D65" s="1332"/>
      <c r="E65" s="1332"/>
      <c r="F65" s="1332"/>
      <c r="G65" s="1332"/>
      <c r="H65" s="1332"/>
      <c r="I65" s="1332"/>
      <c r="J65" s="1332"/>
      <c r="K65" s="1332"/>
      <c r="L65" s="1332"/>
      <c r="M65" s="1332"/>
      <c r="N65" s="1332"/>
      <c r="O65" s="1332"/>
      <c r="P65" s="1332"/>
      <c r="Q65" s="1332"/>
    </row>
    <row r="66" spans="1:17" s="52" customFormat="1" ht="12.75">
      <c r="A66" s="1280" t="s">
        <v>2186</v>
      </c>
      <c r="B66" s="1280"/>
      <c r="C66" s="1280"/>
      <c r="D66" s="1280"/>
      <c r="E66" s="1280"/>
      <c r="F66" s="1280"/>
      <c r="G66" s="1280"/>
      <c r="H66" s="1280"/>
      <c r="I66" s="1280"/>
      <c r="J66" s="1280"/>
      <c r="K66" s="1280"/>
      <c r="L66" s="1280"/>
      <c r="M66" s="1280"/>
      <c r="N66" s="1280"/>
      <c r="O66" s="1280"/>
      <c r="P66" s="1280"/>
      <c r="Q66" s="1280"/>
    </row>
    <row r="67" spans="1:17" s="16" customFormat="1" ht="12.75">
      <c r="A67" s="2302" t="s">
        <v>2187</v>
      </c>
      <c r="B67" s="2302"/>
      <c r="C67" s="2302"/>
      <c r="D67" s="2302"/>
      <c r="E67" s="2302"/>
      <c r="F67" s="2302"/>
      <c r="G67" s="2302"/>
      <c r="H67" s="2302"/>
      <c r="I67" s="2302"/>
      <c r="J67" s="2302"/>
      <c r="K67" s="2302"/>
      <c r="L67" s="2302"/>
      <c r="M67" s="2302"/>
      <c r="N67" s="2302"/>
      <c r="O67" s="2302"/>
      <c r="P67" s="2302"/>
      <c r="Q67" s="2302"/>
    </row>
    <row r="68" spans="1:17" s="52" customFormat="1" ht="12.75">
      <c r="A68" s="1296" t="s">
        <v>2188</v>
      </c>
      <c r="B68" s="1296"/>
      <c r="C68" s="1296"/>
      <c r="D68" s="1296"/>
      <c r="E68" s="1296"/>
      <c r="F68" s="1296"/>
      <c r="G68" s="1296"/>
      <c r="H68" s="1296"/>
      <c r="I68" s="1296"/>
      <c r="J68" s="1296"/>
      <c r="K68" s="1296"/>
      <c r="L68" s="1296"/>
      <c r="M68" s="1296"/>
      <c r="N68" s="1296"/>
      <c r="O68" s="1296"/>
      <c r="P68" s="1296"/>
      <c r="Q68" s="1296"/>
    </row>
    <row r="69" spans="1:17" s="52" customFormat="1" ht="12.75">
      <c r="A69" s="2303" t="s">
        <v>2106</v>
      </c>
      <c r="B69" s="2303"/>
      <c r="C69" s="2303"/>
      <c r="D69" s="2303"/>
      <c r="E69" s="2303"/>
      <c r="F69" s="2303"/>
      <c r="G69" s="2303"/>
      <c r="H69" s="2303"/>
      <c r="I69" s="2303"/>
      <c r="J69" s="2303"/>
      <c r="K69" s="2303"/>
      <c r="L69" s="2303"/>
      <c r="M69" s="2303"/>
      <c r="N69" s="2303"/>
      <c r="O69" s="2303"/>
      <c r="P69" s="2303"/>
      <c r="Q69" s="2303"/>
    </row>
    <row r="71" spans="1:17" ht="36" customHeight="1">
      <c r="A71" s="1888" t="s">
        <v>508</v>
      </c>
      <c r="B71" s="1342" t="s">
        <v>2189</v>
      </c>
      <c r="C71" s="1940"/>
      <c r="D71" s="1343"/>
      <c r="E71" s="1342" t="s">
        <v>2190</v>
      </c>
      <c r="F71" s="1940"/>
      <c r="G71" s="1343"/>
      <c r="H71" s="1342" t="s">
        <v>2191</v>
      </c>
      <c r="I71" s="1940"/>
      <c r="J71" s="1339" t="s">
        <v>966</v>
      </c>
      <c r="K71" s="1339"/>
      <c r="L71" s="1339"/>
      <c r="M71" s="1339"/>
      <c r="N71" s="1342" t="s">
        <v>2192</v>
      </c>
      <c r="O71" s="1940"/>
      <c r="P71" s="1940"/>
      <c r="Q71" s="1343"/>
    </row>
    <row r="72" spans="1:17" ht="12" customHeight="1">
      <c r="A72" s="2304"/>
      <c r="B72" s="1597">
        <v>0</v>
      </c>
      <c r="C72" s="1598"/>
      <c r="D72" s="1599"/>
      <c r="E72" s="1597">
        <v>0</v>
      </c>
      <c r="F72" s="1598"/>
      <c r="G72" s="1599"/>
      <c r="H72" s="1597">
        <v>0</v>
      </c>
      <c r="I72" s="1598"/>
      <c r="J72" s="1387">
        <v>0</v>
      </c>
      <c r="K72" s="1387"/>
      <c r="L72" s="1387"/>
      <c r="M72" s="1387"/>
      <c r="N72" s="1597">
        <v>0</v>
      </c>
      <c r="O72" s="1598"/>
      <c r="P72" s="1598"/>
      <c r="Q72" s="1599"/>
    </row>
    <row r="73" spans="1:17" ht="12" customHeight="1">
      <c r="A73" s="1889"/>
      <c r="B73" s="1603"/>
      <c r="C73" s="1604"/>
      <c r="D73" s="1605"/>
      <c r="E73" s="1603"/>
      <c r="F73" s="1604"/>
      <c r="G73" s="1605"/>
      <c r="H73" s="1603"/>
      <c r="I73" s="1604"/>
      <c r="J73" s="1387"/>
      <c r="K73" s="1387"/>
      <c r="L73" s="1387"/>
      <c r="M73" s="1387"/>
      <c r="N73" s="1603"/>
      <c r="O73" s="1604"/>
      <c r="P73" s="1604"/>
      <c r="Q73" s="1605"/>
    </row>
  </sheetData>
  <mergeCells count="177">
    <mergeCell ref="A69:Q69"/>
    <mergeCell ref="A71:A73"/>
    <mergeCell ref="B71:D71"/>
    <mergeCell ref="E71:G71"/>
    <mergeCell ref="H71:I71"/>
    <mergeCell ref="J71:M71"/>
    <mergeCell ref="N71:Q71"/>
    <mergeCell ref="B72:D73"/>
    <mergeCell ref="E72:G73"/>
    <mergeCell ref="H72:I73"/>
    <mergeCell ref="A63:Q63"/>
    <mergeCell ref="A64:Q64"/>
    <mergeCell ref="A65:Q65"/>
    <mergeCell ref="A66:Q66"/>
    <mergeCell ref="A67:Q67"/>
    <mergeCell ref="A68:Q68"/>
    <mergeCell ref="J72:M73"/>
    <mergeCell ref="N72:Q73"/>
    <mergeCell ref="F61:G61"/>
    <mergeCell ref="H61:I61"/>
    <mergeCell ref="J61:M61"/>
    <mergeCell ref="N61:Q61"/>
    <mergeCell ref="F62:G62"/>
    <mergeCell ref="H62:I62"/>
    <mergeCell ref="J62:M62"/>
    <mergeCell ref="N62:Q62"/>
    <mergeCell ref="F59:G59"/>
    <mergeCell ref="H59:I59"/>
    <mergeCell ref="J59:M59"/>
    <mergeCell ref="N59:Q59"/>
    <mergeCell ref="F60:G60"/>
    <mergeCell ref="H60:I60"/>
    <mergeCell ref="J60:M60"/>
    <mergeCell ref="N60:Q60"/>
    <mergeCell ref="F57:G57"/>
    <mergeCell ref="H57:I57"/>
    <mergeCell ref="J57:M57"/>
    <mergeCell ref="N57:Q57"/>
    <mergeCell ref="F58:G58"/>
    <mergeCell ref="H58:I58"/>
    <mergeCell ref="J58:M58"/>
    <mergeCell ref="N58:Q58"/>
    <mergeCell ref="A51:Q51"/>
    <mergeCell ref="B52:Q52"/>
    <mergeCell ref="B53:Q53"/>
    <mergeCell ref="B54:Q54"/>
    <mergeCell ref="B55:Q55"/>
    <mergeCell ref="A56:Q56"/>
    <mergeCell ref="J49:K49"/>
    <mergeCell ref="L49:M49"/>
    <mergeCell ref="N49:O49"/>
    <mergeCell ref="P49:Q49"/>
    <mergeCell ref="J50:K50"/>
    <mergeCell ref="L50:M50"/>
    <mergeCell ref="N50:O50"/>
    <mergeCell ref="P50:Q50"/>
    <mergeCell ref="J47:K47"/>
    <mergeCell ref="L47:M47"/>
    <mergeCell ref="N47:O47"/>
    <mergeCell ref="P47:Q47"/>
    <mergeCell ref="J48:K48"/>
    <mergeCell ref="L48:M48"/>
    <mergeCell ref="N48:O48"/>
    <mergeCell ref="P48:Q48"/>
    <mergeCell ref="A44:Q44"/>
    <mergeCell ref="J45:K45"/>
    <mergeCell ref="L45:M45"/>
    <mergeCell ref="N45:O45"/>
    <mergeCell ref="P45:Q45"/>
    <mergeCell ref="J46:K46"/>
    <mergeCell ref="L46:M46"/>
    <mergeCell ref="N46:O46"/>
    <mergeCell ref="P46:Q46"/>
    <mergeCell ref="B39:Q39"/>
    <mergeCell ref="B40:Q40"/>
    <mergeCell ref="B41:Q41"/>
    <mergeCell ref="A42:Q42"/>
    <mergeCell ref="J43:K43"/>
    <mergeCell ref="L43:M43"/>
    <mergeCell ref="N43:O43"/>
    <mergeCell ref="P43:Q43"/>
    <mergeCell ref="A36:Q36"/>
    <mergeCell ref="J37:K37"/>
    <mergeCell ref="L37:M37"/>
    <mergeCell ref="N37:O37"/>
    <mergeCell ref="P37:Q37"/>
    <mergeCell ref="A38:Q38"/>
    <mergeCell ref="A33:Q33"/>
    <mergeCell ref="J34:K34"/>
    <mergeCell ref="L34:M34"/>
    <mergeCell ref="N34:O34"/>
    <mergeCell ref="P34:Q34"/>
    <mergeCell ref="J35:K35"/>
    <mergeCell ref="L35:M35"/>
    <mergeCell ref="N35:O35"/>
    <mergeCell ref="P35:Q35"/>
    <mergeCell ref="A29:Q29"/>
    <mergeCell ref="A30:I30"/>
    <mergeCell ref="J30:Q30"/>
    <mergeCell ref="A31:I31"/>
    <mergeCell ref="J31:Q31"/>
    <mergeCell ref="A32:Q32"/>
    <mergeCell ref="J27:K27"/>
    <mergeCell ref="L27:M27"/>
    <mergeCell ref="N27:O27"/>
    <mergeCell ref="P27:Q27"/>
    <mergeCell ref="J28:K28"/>
    <mergeCell ref="L28:M28"/>
    <mergeCell ref="N28:O28"/>
    <mergeCell ref="P28:Q28"/>
    <mergeCell ref="B24:Q24"/>
    <mergeCell ref="J25:K25"/>
    <mergeCell ref="L25:M25"/>
    <mergeCell ref="N25:O25"/>
    <mergeCell ref="P25:Q25"/>
    <mergeCell ref="J26:K26"/>
    <mergeCell ref="L26:M26"/>
    <mergeCell ref="N26:O26"/>
    <mergeCell ref="P26:Q26"/>
    <mergeCell ref="J22:K22"/>
    <mergeCell ref="L22:M22"/>
    <mergeCell ref="N22:O22"/>
    <mergeCell ref="P22:Q22"/>
    <mergeCell ref="J23:K23"/>
    <mergeCell ref="L23:M23"/>
    <mergeCell ref="N23:O23"/>
    <mergeCell ref="P23:Q23"/>
    <mergeCell ref="J19:K19"/>
    <mergeCell ref="L19:M19"/>
    <mergeCell ref="N19:O19"/>
    <mergeCell ref="P19:Q19"/>
    <mergeCell ref="B20:Q20"/>
    <mergeCell ref="J21:K21"/>
    <mergeCell ref="L21:M21"/>
    <mergeCell ref="N21:O21"/>
    <mergeCell ref="P21:Q21"/>
    <mergeCell ref="A16:Q16"/>
    <mergeCell ref="J17:K17"/>
    <mergeCell ref="L17:M17"/>
    <mergeCell ref="N17:O17"/>
    <mergeCell ref="P17:Q17"/>
    <mergeCell ref="J18:K18"/>
    <mergeCell ref="L18:M18"/>
    <mergeCell ref="N18:O18"/>
    <mergeCell ref="P18:Q18"/>
    <mergeCell ref="J12:K12"/>
    <mergeCell ref="L12:M12"/>
    <mergeCell ref="N12:O12"/>
    <mergeCell ref="P12:Q12"/>
    <mergeCell ref="A14:Q14"/>
    <mergeCell ref="P15:Q15"/>
    <mergeCell ref="A9:Q9"/>
    <mergeCell ref="J10:K10"/>
    <mergeCell ref="L10:M10"/>
    <mergeCell ref="N10:O10"/>
    <mergeCell ref="P10:Q10"/>
    <mergeCell ref="J11:K11"/>
    <mergeCell ref="L11:M11"/>
    <mergeCell ref="N11:O11"/>
    <mergeCell ref="P11:Q11"/>
    <mergeCell ref="J7:K7"/>
    <mergeCell ref="L7:M7"/>
    <mergeCell ref="N7:O7"/>
    <mergeCell ref="P7:Q7"/>
    <mergeCell ref="J8:K8"/>
    <mergeCell ref="L8:M8"/>
    <mergeCell ref="N8:O8"/>
    <mergeCell ref="P8:Q8"/>
    <mergeCell ref="A1:D1"/>
    <mergeCell ref="P2:Q2"/>
    <mergeCell ref="A3:Q3"/>
    <mergeCell ref="P4:Q4"/>
    <mergeCell ref="A5:Q5"/>
    <mergeCell ref="J6:K6"/>
    <mergeCell ref="L6:M6"/>
    <mergeCell ref="N6:O6"/>
    <mergeCell ref="P6:Q6"/>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58" orientation="landscape" horizontalDpi="300" verticalDpi="300" r:id="rId1"/>
  <headerFooter scaleWithDoc="0">
    <oddHeader xml:space="preserve">&amp;L&amp;G&amp;R&amp;5Центр поддержки клиентов Grand Line: +7 (495) 748-38-38
cайт: www.grandline.ru   </oddHeader>
    <oddFooter>&amp;R&amp;5Страница 25</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R67"/>
  <sheetViews>
    <sheetView zoomScale="70" zoomScaleNormal="70" zoomScaleSheetLayoutView="25" workbookViewId="0">
      <selection activeCell="A2" sqref="A2:L2"/>
    </sheetView>
  </sheetViews>
  <sheetFormatPr defaultRowHeight="12" customHeight="1"/>
  <cols>
    <col min="1" max="1" width="63.28515625" style="46" customWidth="1"/>
    <col min="2" max="18" width="9.140625" style="46" customWidth="1"/>
    <col min="19" max="16384" width="9.140625" style="46"/>
  </cols>
  <sheetData>
    <row r="1" spans="1:18" s="52" customFormat="1" ht="12.75">
      <c r="A1" s="1666" t="s">
        <v>312</v>
      </c>
      <c r="B1" s="1666"/>
      <c r="C1" s="1666"/>
      <c r="D1" s="1666"/>
      <c r="E1" s="55"/>
      <c r="F1" s="55"/>
      <c r="G1" s="55"/>
      <c r="H1" s="55"/>
      <c r="I1" s="55"/>
      <c r="J1" s="55"/>
      <c r="K1" s="55"/>
      <c r="L1" s="55"/>
      <c r="M1" s="55"/>
      <c r="N1" s="1"/>
      <c r="O1" s="46"/>
    </row>
    <row r="2" spans="1:18" s="52" customFormat="1" ht="18.75" thickBot="1">
      <c r="A2" s="2305" t="s">
        <v>4399</v>
      </c>
      <c r="B2" s="2305"/>
      <c r="C2" s="2305"/>
      <c r="D2" s="2305"/>
      <c r="E2" s="2305"/>
      <c r="F2" s="2305"/>
      <c r="G2" s="2305"/>
      <c r="H2" s="2305"/>
      <c r="I2" s="2305"/>
      <c r="J2" s="2305"/>
      <c r="K2" s="2305"/>
      <c r="L2" s="2305"/>
      <c r="M2" s="754"/>
      <c r="N2" s="754"/>
      <c r="O2" s="754"/>
      <c r="P2" s="755" t="s">
        <v>313</v>
      </c>
      <c r="Q2" s="1492">
        <v>43252</v>
      </c>
      <c r="R2" s="1492"/>
    </row>
    <row r="3" spans="1:18" s="52" customFormat="1" ht="12.75">
      <c r="A3" s="276"/>
      <c r="B3" s="429"/>
      <c r="L3" s="430"/>
      <c r="M3" s="430"/>
      <c r="O3" s="418"/>
      <c r="P3" s="534" t="s">
        <v>804</v>
      </c>
      <c r="Q3" s="2297">
        <v>43252</v>
      </c>
      <c r="R3" s="2297"/>
    </row>
    <row r="4" spans="1:18" s="52" customFormat="1" ht="12.75">
      <c r="A4" s="1639" t="s">
        <v>2193</v>
      </c>
      <c r="B4" s="1639"/>
      <c r="C4" s="1639"/>
      <c r="D4" s="1639"/>
      <c r="E4" s="1639"/>
      <c r="F4" s="1639"/>
      <c r="G4" s="1639"/>
      <c r="H4" s="1639"/>
      <c r="I4" s="1639"/>
      <c r="J4" s="1639"/>
      <c r="K4" s="1639"/>
      <c r="L4" s="1639"/>
      <c r="M4" s="1639"/>
      <c r="N4" s="1639"/>
      <c r="O4" s="1639"/>
      <c r="P4" s="1639"/>
      <c r="Q4" s="1639"/>
      <c r="R4" s="1639"/>
    </row>
    <row r="5" spans="1:18" s="52" customFormat="1" ht="12.75">
      <c r="A5" s="419" t="s">
        <v>307</v>
      </c>
      <c r="B5" s="212" t="s">
        <v>2194</v>
      </c>
      <c r="C5" s="212" t="s">
        <v>2195</v>
      </c>
      <c r="D5" s="212" t="s">
        <v>2196</v>
      </c>
      <c r="E5" s="212" t="s">
        <v>2197</v>
      </c>
      <c r="F5" s="212" t="s">
        <v>2198</v>
      </c>
      <c r="G5" s="212" t="s">
        <v>2199</v>
      </c>
      <c r="H5" s="212" t="s">
        <v>2200</v>
      </c>
      <c r="I5" s="1634" t="s">
        <v>2201</v>
      </c>
      <c r="J5" s="1636"/>
      <c r="K5" s="1634" t="s">
        <v>2202</v>
      </c>
      <c r="L5" s="1636"/>
      <c r="M5" s="1634" t="s">
        <v>2203</v>
      </c>
      <c r="N5" s="1636"/>
      <c r="O5" s="1634" t="s">
        <v>2204</v>
      </c>
      <c r="P5" s="1636"/>
      <c r="Q5" s="1634" t="s">
        <v>2205</v>
      </c>
      <c r="R5" s="1636"/>
    </row>
    <row r="6" spans="1:18" s="52" customFormat="1" ht="12.75">
      <c r="A6" s="419" t="s">
        <v>2040</v>
      </c>
      <c r="B6" s="212" t="s">
        <v>2041</v>
      </c>
      <c r="C6" s="212" t="s">
        <v>2122</v>
      </c>
      <c r="D6" s="212" t="s">
        <v>2123</v>
      </c>
      <c r="E6" s="212" t="s">
        <v>2044</v>
      </c>
      <c r="F6" s="212" t="s">
        <v>2045</v>
      </c>
      <c r="G6" s="212" t="s">
        <v>2046</v>
      </c>
      <c r="H6" s="212" t="s">
        <v>2047</v>
      </c>
      <c r="I6" s="1634" t="s">
        <v>2048</v>
      </c>
      <c r="J6" s="1636"/>
      <c r="K6" s="1634" t="s">
        <v>2049</v>
      </c>
      <c r="L6" s="1636"/>
      <c r="M6" s="1634" t="s">
        <v>2050</v>
      </c>
      <c r="N6" s="1636"/>
      <c r="O6" s="1634" t="s">
        <v>2051</v>
      </c>
      <c r="P6" s="1636"/>
      <c r="Q6" s="1634" t="s">
        <v>2052</v>
      </c>
      <c r="R6" s="1636"/>
    </row>
    <row r="7" spans="1:18" s="52" customFormat="1" ht="12.75">
      <c r="A7" s="419" t="s">
        <v>2141</v>
      </c>
      <c r="B7" s="212">
        <v>0.22</v>
      </c>
      <c r="C7" s="212">
        <v>0.28999999999999998</v>
      </c>
      <c r="D7" s="212">
        <v>0.38</v>
      </c>
      <c r="E7" s="212">
        <v>0.47</v>
      </c>
      <c r="F7" s="212">
        <v>0.47</v>
      </c>
      <c r="G7" s="212">
        <v>0.59</v>
      </c>
      <c r="H7" s="212">
        <v>0.72</v>
      </c>
      <c r="I7" s="1634">
        <v>0.85</v>
      </c>
      <c r="J7" s="1636"/>
      <c r="K7" s="1634">
        <v>0.75</v>
      </c>
      <c r="L7" s="1636"/>
      <c r="M7" s="1634">
        <v>0.92</v>
      </c>
      <c r="N7" s="1636"/>
      <c r="O7" s="1634">
        <v>0.95</v>
      </c>
      <c r="P7" s="1636"/>
      <c r="Q7" s="1634">
        <v>1.1599999999999999</v>
      </c>
      <c r="R7" s="1636"/>
    </row>
    <row r="8" spans="1:18" s="289" customFormat="1" ht="12.75">
      <c r="A8" s="420" t="s">
        <v>2206</v>
      </c>
      <c r="B8" s="87">
        <f>ROUND(22650*Belarus*(1-B66),2)</f>
        <v>22650</v>
      </c>
      <c r="C8" s="87">
        <f>ROUND(24150*Belarus*(1-B66),2)</f>
        <v>24150</v>
      </c>
      <c r="D8" s="87">
        <f>ROUND(26800*Belarus*(1-B66),2)</f>
        <v>26800</v>
      </c>
      <c r="E8" s="87">
        <f>ROUND(28000*Belarus*(1-B66),2)</f>
        <v>28000</v>
      </c>
      <c r="F8" s="87">
        <f>ROUND(27400*Belarus*(1-B66),2)</f>
        <v>27400</v>
      </c>
      <c r="G8" s="87">
        <f>ROUND(29800*Belarus*(1-B66),2)</f>
        <v>29800</v>
      </c>
      <c r="H8" s="87">
        <f>ROUND(31900*Belarus*(1-B66),2)</f>
        <v>31900</v>
      </c>
      <c r="I8" s="1514">
        <f>ROUND(36950*Belarus*(1-B66),2)</f>
        <v>36950</v>
      </c>
      <c r="J8" s="1516"/>
      <c r="K8" s="1514">
        <f>ROUND(34850*Belarus*(1-B66),2)</f>
        <v>34850</v>
      </c>
      <c r="L8" s="1516"/>
      <c r="M8" s="1514">
        <f>ROUND(37250*Belarus*(1-B66),2)</f>
        <v>37250</v>
      </c>
      <c r="N8" s="1516"/>
      <c r="O8" s="1514">
        <f>ROUND(36650*Belarus*(1-B66),2)</f>
        <v>36650</v>
      </c>
      <c r="P8" s="1516"/>
      <c r="Q8" s="1514">
        <f>ROUND(40850*Belarus*(1-B66),2)</f>
        <v>40850</v>
      </c>
      <c r="R8" s="1516"/>
    </row>
    <row r="9" spans="1:18" s="289" customFormat="1" ht="12.75">
      <c r="A9" s="420" t="s">
        <v>2207</v>
      </c>
      <c r="B9" s="87">
        <f>ROUND(28750*Belarus*(1-B66),2)</f>
        <v>28750</v>
      </c>
      <c r="C9" s="87">
        <f>ROUND(30600*Belarus*(1-B66),2)</f>
        <v>30600</v>
      </c>
      <c r="D9" s="87">
        <f>ROUND(34000*Belarus*(1-B66),2)</f>
        <v>34000</v>
      </c>
      <c r="E9" s="87">
        <f>ROUND(35550*Belarus*(1-B66),2)</f>
        <v>35550</v>
      </c>
      <c r="F9" s="87">
        <f>ROUND(34800*Belarus*(1-B66),2)</f>
        <v>34800</v>
      </c>
      <c r="G9" s="87">
        <f>ROUND(37800*Belarus*(1-B66),2)</f>
        <v>37800</v>
      </c>
      <c r="H9" s="87">
        <f>ROUND(40450*Belarus*(1-B66),2)</f>
        <v>40450</v>
      </c>
      <c r="I9" s="1514">
        <f>ROUND(46850*Belarus*(1-B66),2)</f>
        <v>46850</v>
      </c>
      <c r="J9" s="1516"/>
      <c r="K9" s="1514">
        <f>ROUND(44250*Belarus*(1-B66),2)</f>
        <v>44250</v>
      </c>
      <c r="L9" s="1516"/>
      <c r="M9" s="1514">
        <f>ROUND(47250*Belarus*(1-B66),2)</f>
        <v>47250</v>
      </c>
      <c r="N9" s="1516"/>
      <c r="O9" s="1514">
        <f>ROUND(46500*Belarus*(1-B66),2)</f>
        <v>46500</v>
      </c>
      <c r="P9" s="1516"/>
      <c r="Q9" s="1514">
        <f>ROUND(51800*Belarus*(1-B66),2)</f>
        <v>51800</v>
      </c>
      <c r="R9" s="1516"/>
    </row>
    <row r="10" spans="1:18" s="289" customFormat="1" ht="12.75">
      <c r="A10" s="420" t="s">
        <v>2208</v>
      </c>
      <c r="B10" s="87">
        <f>ROUND(36900*Belarus*(1-B66),2)</f>
        <v>36900</v>
      </c>
      <c r="C10" s="87">
        <f>ROUND(39350*Belarus*(1-B66),2)</f>
        <v>39350</v>
      </c>
      <c r="D10" s="87">
        <f>ROUND(43700*Belarus*(1-B66),2)</f>
        <v>43700</v>
      </c>
      <c r="E10" s="87">
        <f>ROUND(45650*Belarus*(1-B66),2)</f>
        <v>45650</v>
      </c>
      <c r="F10" s="87">
        <f>ROUND(44700*Belarus*(1-B66),2)</f>
        <v>44700</v>
      </c>
      <c r="G10" s="87">
        <f>ROUND(48550*Belarus*(1-B66),2)</f>
        <v>48550</v>
      </c>
      <c r="H10" s="87">
        <f>ROUND(51950*Belarus*(1-B66),2)</f>
        <v>51950</v>
      </c>
      <c r="I10" s="1514">
        <f>ROUND(60250*Belarus*(1-B66),2)</f>
        <v>60250</v>
      </c>
      <c r="J10" s="1516"/>
      <c r="K10" s="1514">
        <f>ROUND(56850*Belarus*(1-B66),2)</f>
        <v>56850</v>
      </c>
      <c r="L10" s="1516"/>
      <c r="M10" s="1514">
        <f>ROUND(60700*Belarus*(1-B66),2)</f>
        <v>60700</v>
      </c>
      <c r="N10" s="1516"/>
      <c r="O10" s="1514">
        <f>ROUND(59750*Belarus*(1-B66),2)</f>
        <v>59750</v>
      </c>
      <c r="P10" s="1516"/>
      <c r="Q10" s="1514">
        <f>ROUND(66550*Belarus*(1-B66),2)</f>
        <v>66550</v>
      </c>
      <c r="R10" s="1516"/>
    </row>
    <row r="11" spans="1:18" s="289" customFormat="1" ht="12.75">
      <c r="A11" s="420" t="s">
        <v>6526</v>
      </c>
      <c r="B11" s="87">
        <f>ROUND(43100*Belarus*(1-B66),2)</f>
        <v>43100</v>
      </c>
      <c r="C11" s="87">
        <f>ROUND(45950*Belarus*(1-B66),2)</f>
        <v>45950</v>
      </c>
      <c r="D11" s="87">
        <f>ROUND(51050*Belarus*(1-B66),2)</f>
        <v>51050</v>
      </c>
      <c r="E11" s="87">
        <f>ROUND(53300*Belarus*(1-B66),2)</f>
        <v>53300</v>
      </c>
      <c r="F11" s="87">
        <f>ROUND(52150*Belarus*(1-B66),2)</f>
        <v>52150</v>
      </c>
      <c r="G11" s="87">
        <f>ROUND(56700*Belarus*(1-B66),2)</f>
        <v>56700</v>
      </c>
      <c r="H11" s="87">
        <f>ROUND(60650*Belarus*(1-B66),2)</f>
        <v>60650</v>
      </c>
      <c r="I11" s="1514">
        <f>ROUND(70300*Belarus*(1-B66),2)</f>
        <v>70300</v>
      </c>
      <c r="J11" s="1516"/>
      <c r="K11" s="1514">
        <f>ROUND(66350*Belarus*(1-B66),2)</f>
        <v>66350</v>
      </c>
      <c r="L11" s="1516"/>
      <c r="M11" s="1514">
        <f>ROUND(70900*Belarus*(1-B66),2)</f>
        <v>70900</v>
      </c>
      <c r="N11" s="1516"/>
      <c r="O11" s="1514">
        <f>ROUND(69750*Belarus*(1-B66),2)</f>
        <v>69750</v>
      </c>
      <c r="P11" s="1516"/>
      <c r="Q11" s="1514">
        <f>ROUND(77700*Belarus*(1-B66),2)</f>
        <v>77700</v>
      </c>
      <c r="R11" s="1516"/>
    </row>
    <row r="12" spans="1:18" s="289" customFormat="1" ht="12.75">
      <c r="A12" s="420" t="s">
        <v>2209</v>
      </c>
      <c r="B12" s="87" t="s">
        <v>369</v>
      </c>
      <c r="C12" s="87">
        <f>ROUND(37500*Belarus*(1-B66),2)</f>
        <v>37500</v>
      </c>
      <c r="D12" s="87" t="s">
        <v>369</v>
      </c>
      <c r="E12" s="87">
        <f>ROUND(43500*Belarus*(1-B66),2)</f>
        <v>43500</v>
      </c>
      <c r="F12" s="87">
        <f>ROUND(42600*Belarus*(1-B66),2)</f>
        <v>42600</v>
      </c>
      <c r="G12" s="87">
        <f>ROUND(46300*Belarus*(1-B66),2)</f>
        <v>46300</v>
      </c>
      <c r="H12" s="87">
        <f>ROUND(49500*Belarus*(1-B66),2)</f>
        <v>49500</v>
      </c>
      <c r="I12" s="1514">
        <f>ROUND(57400*Belarus*(1-B66),2)</f>
        <v>57400</v>
      </c>
      <c r="J12" s="1516"/>
      <c r="K12" s="1514">
        <f>ROUND(54150*Belarus*(1-B66),2)</f>
        <v>54150</v>
      </c>
      <c r="L12" s="1516"/>
      <c r="M12" s="1514">
        <f>ROUND(57850*Belarus*(1-B66),2)</f>
        <v>57850</v>
      </c>
      <c r="N12" s="1516"/>
      <c r="O12" s="1514">
        <f>ROUND(56900*Belarus*(1-B66),2)</f>
        <v>56900</v>
      </c>
      <c r="P12" s="1516"/>
      <c r="Q12" s="1514">
        <f>ROUND(63400*Belarus*(1-B66),2)</f>
        <v>63400</v>
      </c>
      <c r="R12" s="1516"/>
    </row>
    <row r="13" spans="1:18" s="289" customFormat="1" ht="12.75">
      <c r="A13" s="420" t="s">
        <v>2210</v>
      </c>
      <c r="B13" s="87" t="s">
        <v>369</v>
      </c>
      <c r="C13" s="87">
        <f>ROUND(42850*Belarus*(1-B66),2)</f>
        <v>42850</v>
      </c>
      <c r="D13" s="87" t="s">
        <v>369</v>
      </c>
      <c r="E13" s="87">
        <f>ROUND(49750*Belarus*(1-B66),2)</f>
        <v>49750</v>
      </c>
      <c r="F13" s="87">
        <f>ROUND(48700*Belarus*(1-B66),2)</f>
        <v>48700</v>
      </c>
      <c r="G13" s="87">
        <f>ROUND(52900*Belarus*(1-B66),2)</f>
        <v>52900</v>
      </c>
      <c r="H13" s="87">
        <f>ROUND(56600*Belarus*(1-B66),2)</f>
        <v>56600</v>
      </c>
      <c r="I13" s="1514">
        <f>ROUND(65600*Belarus*(1-B66),2)</f>
        <v>65600</v>
      </c>
      <c r="J13" s="1516"/>
      <c r="K13" s="1514">
        <f>ROUND(61900*Belarus*(1-B66),2)</f>
        <v>61900</v>
      </c>
      <c r="L13" s="1516"/>
      <c r="M13" s="1514">
        <f>ROUND(66150*Belarus*(1-B66),2)</f>
        <v>66150</v>
      </c>
      <c r="N13" s="1516"/>
      <c r="O13" s="1514">
        <f>ROUND(65100*Belarus*(1-B66),2)</f>
        <v>65100</v>
      </c>
      <c r="P13" s="1516"/>
      <c r="Q13" s="1514">
        <f>ROUND(72500*Belarus*(1-B66),2)</f>
        <v>72500</v>
      </c>
      <c r="R13" s="1516"/>
    </row>
    <row r="14" spans="1:18" s="289" customFormat="1" ht="12.75">
      <c r="A14" s="420" t="s">
        <v>2211</v>
      </c>
      <c r="B14" s="87">
        <f>ROUND(70800*Belarus*(1-B66),2)</f>
        <v>70800</v>
      </c>
      <c r="C14" s="87">
        <f>ROUND(72300*Belarus*(1-B66),2)</f>
        <v>72300</v>
      </c>
      <c r="D14" s="87">
        <f>ROUND(74950*Belarus*(1-B66),2)</f>
        <v>74950</v>
      </c>
      <c r="E14" s="87">
        <f>ROUND(76150*Belarus*(1-B66),2)</f>
        <v>76150</v>
      </c>
      <c r="F14" s="87">
        <f>ROUND(75550*Belarus*(1-B66),2)</f>
        <v>75550</v>
      </c>
      <c r="G14" s="87">
        <f>ROUND(77950*Belarus*(1-B66),2)</f>
        <v>77950</v>
      </c>
      <c r="H14" s="87">
        <f>ROUND(80050*Belarus*(1-B66),2)</f>
        <v>80050</v>
      </c>
      <c r="I14" s="1514">
        <f>ROUND(85100*Belarus*(1-B66),2)</f>
        <v>85100</v>
      </c>
      <c r="J14" s="1516"/>
      <c r="K14" s="1514">
        <f>ROUND(83000*Belarus*(1-B66),2)</f>
        <v>83000</v>
      </c>
      <c r="L14" s="1516"/>
      <c r="M14" s="1514">
        <f>ROUND(85400*Belarus*(1-B66),2)</f>
        <v>85400</v>
      </c>
      <c r="N14" s="1516"/>
      <c r="O14" s="1514">
        <f>ROUND(84800*Belarus*(1-B66),2)</f>
        <v>84800</v>
      </c>
      <c r="P14" s="1516"/>
      <c r="Q14" s="1514">
        <f>ROUND(89000*Belarus*(1-B66),2)</f>
        <v>89000</v>
      </c>
      <c r="R14" s="1516"/>
    </row>
    <row r="15" spans="1:18" s="289" customFormat="1" ht="12.75">
      <c r="A15" s="420" t="s">
        <v>2212</v>
      </c>
      <c r="B15" s="87">
        <f>ROUND(76900*Belarus*(1-B66),2)</f>
        <v>76900</v>
      </c>
      <c r="C15" s="87">
        <f>ROUND(78750*Belarus*(1-B66),2)</f>
        <v>78750</v>
      </c>
      <c r="D15" s="87">
        <f>ROUND(82150*Belarus*(1-B66),2)</f>
        <v>82150</v>
      </c>
      <c r="E15" s="87">
        <f>ROUND(83700*Belarus*(1-B66),2)</f>
        <v>83700</v>
      </c>
      <c r="F15" s="87">
        <f>ROUND(82950*Belarus*(1-B66),2)</f>
        <v>82950</v>
      </c>
      <c r="G15" s="87">
        <f>ROUND(85950*Belarus*(1-B66),2)</f>
        <v>85950</v>
      </c>
      <c r="H15" s="87">
        <f>ROUND(88600*Belarus*(1-B66),2)</f>
        <v>88600</v>
      </c>
      <c r="I15" s="1514">
        <f>ROUND(95000*Belarus*(1-B66),2)</f>
        <v>95000</v>
      </c>
      <c r="J15" s="1516"/>
      <c r="K15" s="1514">
        <f>ROUND(92400*Belarus*(1-B66),2)</f>
        <v>92400</v>
      </c>
      <c r="L15" s="1516"/>
      <c r="M15" s="1514">
        <f>ROUND(95400*Belarus*(1-B66),2)</f>
        <v>95400</v>
      </c>
      <c r="N15" s="1516"/>
      <c r="O15" s="1514">
        <f>ROUND(94650*Belarus*(1-B66),2)</f>
        <v>94650</v>
      </c>
      <c r="P15" s="1516"/>
      <c r="Q15" s="1514">
        <f>ROUND(99950*Belarus*(1-B66),2)</f>
        <v>99950</v>
      </c>
      <c r="R15" s="1516"/>
    </row>
    <row r="16" spans="1:18" s="52" customFormat="1" ht="12.75">
      <c r="A16" s="1639" t="s">
        <v>2150</v>
      </c>
      <c r="B16" s="1639"/>
      <c r="C16" s="1639"/>
      <c r="D16" s="1639"/>
      <c r="E16" s="1639"/>
      <c r="F16" s="1639"/>
      <c r="G16" s="1639"/>
      <c r="H16" s="1639"/>
      <c r="I16" s="1639"/>
      <c r="J16" s="1639"/>
      <c r="K16" s="1639"/>
      <c r="L16" s="1639"/>
      <c r="M16" s="1639"/>
      <c r="N16" s="1639"/>
      <c r="O16" s="1639"/>
      <c r="P16" s="1639"/>
      <c r="Q16" s="1639"/>
      <c r="R16" s="1639"/>
    </row>
    <row r="17" spans="1:18" s="289" customFormat="1" ht="12.75">
      <c r="A17" s="420" t="s">
        <v>6527</v>
      </c>
      <c r="B17" s="1514">
        <f>ROUND(14800*Belarus*(1-L66),2)</f>
        <v>14800</v>
      </c>
      <c r="C17" s="1515"/>
      <c r="D17" s="1515"/>
      <c r="E17" s="1515"/>
      <c r="F17" s="1515"/>
      <c r="G17" s="1515"/>
      <c r="H17" s="1515"/>
      <c r="I17" s="1515"/>
      <c r="J17" s="1515"/>
      <c r="K17" s="1515"/>
      <c r="L17" s="1515"/>
      <c r="M17" s="1515"/>
      <c r="N17" s="1515"/>
      <c r="O17" s="1515"/>
      <c r="P17" s="1515"/>
      <c r="Q17" s="1515"/>
      <c r="R17" s="1516"/>
    </row>
    <row r="18" spans="1:18" s="289" customFormat="1" ht="12.75">
      <c r="A18" s="420" t="s">
        <v>6528</v>
      </c>
      <c r="B18" s="1514">
        <f>ROUND(18200*Belarus*(1-L66),2)</f>
        <v>18200</v>
      </c>
      <c r="C18" s="1515"/>
      <c r="D18" s="1515"/>
      <c r="E18" s="1515"/>
      <c r="F18" s="1515"/>
      <c r="G18" s="1515"/>
      <c r="H18" s="1515"/>
      <c r="I18" s="1515"/>
      <c r="J18" s="1515"/>
      <c r="K18" s="1515"/>
      <c r="L18" s="1515"/>
      <c r="M18" s="1515"/>
      <c r="N18" s="1515"/>
      <c r="O18" s="1515"/>
      <c r="P18" s="1515"/>
      <c r="Q18" s="1515"/>
      <c r="R18" s="1516"/>
    </row>
    <row r="19" spans="1:18" s="289" customFormat="1" ht="12.75">
      <c r="A19" s="420" t="s">
        <v>6521</v>
      </c>
      <c r="B19" s="1514">
        <f>ROUND(16500*Belarus*(1-L66),2)</f>
        <v>16500</v>
      </c>
      <c r="C19" s="1515"/>
      <c r="D19" s="1515"/>
      <c r="E19" s="1515"/>
      <c r="F19" s="1515"/>
      <c r="G19" s="1515"/>
      <c r="H19" s="1515"/>
      <c r="I19" s="1515"/>
      <c r="J19" s="1515"/>
      <c r="K19" s="1515"/>
      <c r="L19" s="1515"/>
      <c r="M19" s="1515"/>
      <c r="N19" s="1515"/>
      <c r="O19" s="1515"/>
      <c r="P19" s="1515"/>
      <c r="Q19" s="1515"/>
      <c r="R19" s="1516"/>
    </row>
    <row r="20" spans="1:18" s="289" customFormat="1" ht="12.75">
      <c r="A20" s="420" t="s">
        <v>6529</v>
      </c>
      <c r="B20" s="1514">
        <f>ROUND(50600*Belarus*(1-L66),2)</f>
        <v>50600</v>
      </c>
      <c r="C20" s="1515"/>
      <c r="D20" s="1515"/>
      <c r="E20" s="1515"/>
      <c r="F20" s="1515"/>
      <c r="G20" s="1515"/>
      <c r="H20" s="1515"/>
      <c r="I20" s="1515"/>
      <c r="J20" s="1515"/>
      <c r="K20" s="1515"/>
      <c r="L20" s="1515"/>
      <c r="M20" s="1515"/>
      <c r="N20" s="1515"/>
      <c r="O20" s="1515"/>
      <c r="P20" s="1515"/>
      <c r="Q20" s="1515"/>
      <c r="R20" s="1516"/>
    </row>
    <row r="21" spans="1:18" s="52" customFormat="1" ht="12.75">
      <c r="A21" s="1639" t="s">
        <v>2213</v>
      </c>
      <c r="B21" s="1639"/>
      <c r="C21" s="1639"/>
      <c r="D21" s="1639"/>
      <c r="E21" s="1639"/>
      <c r="F21" s="1639"/>
      <c r="G21" s="1639"/>
      <c r="H21" s="1639"/>
      <c r="I21" s="1639"/>
      <c r="J21" s="1639"/>
      <c r="K21" s="1639"/>
      <c r="L21" s="1639"/>
      <c r="M21" s="1639"/>
      <c r="N21" s="1639"/>
      <c r="O21" s="1639"/>
      <c r="P21" s="1639"/>
      <c r="Q21" s="1639"/>
      <c r="R21" s="1639"/>
    </row>
    <row r="22" spans="1:18" s="52" customFormat="1" ht="12.75">
      <c r="A22" s="1634" t="s">
        <v>2214</v>
      </c>
      <c r="B22" s="1635"/>
      <c r="C22" s="1635"/>
      <c r="D22" s="1635"/>
      <c r="E22" s="1635"/>
      <c r="F22" s="1635"/>
      <c r="G22" s="1635"/>
      <c r="H22" s="1635"/>
      <c r="I22" s="1635"/>
      <c r="J22" s="1635"/>
      <c r="K22" s="1635"/>
      <c r="L22" s="1635"/>
      <c r="M22" s="1635"/>
      <c r="N22" s="1635"/>
      <c r="O22" s="1635"/>
      <c r="P22" s="1635"/>
      <c r="Q22" s="1635"/>
      <c r="R22" s="1636"/>
    </row>
    <row r="23" spans="1:18" s="289" customFormat="1" ht="25.5" customHeight="1">
      <c r="A23" s="211" t="s">
        <v>2215</v>
      </c>
      <c r="B23" s="87">
        <f>ROUND(11950*Belarus*(1-B66),2)</f>
        <v>11950</v>
      </c>
      <c r="C23" s="87">
        <f>ROUND(12100*Belarus*(1-B66),2)</f>
        <v>12100</v>
      </c>
      <c r="D23" s="87">
        <f>ROUND(12350*Belarus*(1-B66),2)</f>
        <v>12350</v>
      </c>
      <c r="E23" s="87">
        <f>ROUND(12950*Belarus*(1-B66),2)</f>
        <v>12950</v>
      </c>
      <c r="F23" s="87">
        <f>ROUND(12950*Belarus*(1-B66),2)</f>
        <v>12950</v>
      </c>
      <c r="G23" s="87">
        <f>ROUND(13400*Belarus*(1-B66),2)</f>
        <v>13400</v>
      </c>
      <c r="H23" s="87">
        <f>ROUND(13900*Belarus*(1-B66),2)</f>
        <v>13900</v>
      </c>
      <c r="I23" s="1514">
        <f>ROUND(14800*Belarus*(1-B66),2)</f>
        <v>14800</v>
      </c>
      <c r="J23" s="1516"/>
      <c r="K23" s="1514">
        <f>ROUND(14450*Belarus*(1-B66),2)</f>
        <v>14450</v>
      </c>
      <c r="L23" s="1516"/>
      <c r="M23" s="1514">
        <f>ROUND(15000*Belarus*(1-B66),2)</f>
        <v>15000</v>
      </c>
      <c r="N23" s="1516"/>
      <c r="O23" s="1514">
        <f>ROUND(14900*Belarus*(1-B66),2)</f>
        <v>14900</v>
      </c>
      <c r="P23" s="1516"/>
      <c r="Q23" s="1514">
        <f>ROUND(15500*Belarus*(1-B66),2)</f>
        <v>15500</v>
      </c>
      <c r="R23" s="1516"/>
    </row>
    <row r="24" spans="1:18" s="289" customFormat="1" ht="15" customHeight="1">
      <c r="A24" s="421" t="s">
        <v>2216</v>
      </c>
      <c r="B24" s="87">
        <f>ROUND(10250*Belarus*(1-B66),2)</f>
        <v>10250</v>
      </c>
      <c r="C24" s="87">
        <f>ROUND(10400*Belarus*(1-B66),2)</f>
        <v>10400</v>
      </c>
      <c r="D24" s="87">
        <f>ROUND(10600*Belarus*(1-B66),2)</f>
        <v>10600</v>
      </c>
      <c r="E24" s="87">
        <f>ROUND(11050*Belarus*(1-B66),2)</f>
        <v>11050</v>
      </c>
      <c r="F24" s="87">
        <f>ROUND(11050*Belarus*(1-B66),2)</f>
        <v>11050</v>
      </c>
      <c r="G24" s="87">
        <f>ROUND(11350*Belarus*(1-B66),2)</f>
        <v>11350</v>
      </c>
      <c r="H24" s="87">
        <f>ROUND(11750*Belarus*(1-B66),2)</f>
        <v>11750</v>
      </c>
      <c r="I24" s="1514">
        <f>ROUND(12450*Belarus*(1-B66),2)</f>
        <v>12450</v>
      </c>
      <c r="J24" s="1516"/>
      <c r="K24" s="1514">
        <f>ROUND(12200*Belarus*(1-B66),2)</f>
        <v>12200</v>
      </c>
      <c r="L24" s="1516"/>
      <c r="M24" s="1514">
        <f>ROUND(12600*Belarus*(1-B66),2)</f>
        <v>12600</v>
      </c>
      <c r="N24" s="1516"/>
      <c r="O24" s="1514">
        <f>ROUND(12500*Belarus*(1-B66),2)</f>
        <v>12500</v>
      </c>
      <c r="P24" s="1516"/>
      <c r="Q24" s="1514">
        <f>ROUND(12950*Belarus*(1-B66),2)</f>
        <v>12950</v>
      </c>
      <c r="R24" s="1516"/>
    </row>
    <row r="25" spans="1:18" s="52" customFormat="1" ht="12.75">
      <c r="A25" s="1634" t="s">
        <v>2217</v>
      </c>
      <c r="B25" s="1635"/>
      <c r="C25" s="1635"/>
      <c r="D25" s="1635"/>
      <c r="E25" s="1635"/>
      <c r="F25" s="1635"/>
      <c r="G25" s="1635"/>
      <c r="H25" s="1635"/>
      <c r="I25" s="1635"/>
      <c r="J25" s="1635"/>
      <c r="K25" s="1635"/>
      <c r="L25" s="1635"/>
      <c r="M25" s="1635"/>
      <c r="N25" s="1635"/>
      <c r="O25" s="1635"/>
      <c r="P25" s="1635"/>
      <c r="Q25" s="1635"/>
      <c r="R25" s="1636"/>
    </row>
    <row r="26" spans="1:18" s="289" customFormat="1" ht="12.75">
      <c r="A26" s="427" t="s">
        <v>2218</v>
      </c>
      <c r="B26" s="87">
        <f>ROUND(15200*Belarus*(1-B66),2)</f>
        <v>15200</v>
      </c>
      <c r="C26" s="87" t="s">
        <v>369</v>
      </c>
      <c r="D26" s="87">
        <f>ROUND(16100*Belarus*(1-B66),2)</f>
        <v>16100</v>
      </c>
      <c r="E26" s="87" t="s">
        <v>369</v>
      </c>
      <c r="F26" s="87">
        <f>ROUND(17350*Belarus*(1-B66),2)</f>
        <v>17350</v>
      </c>
      <c r="G26" s="87">
        <f>ROUND(18300*Belarus*(1-B66),2)</f>
        <v>18300</v>
      </c>
      <c r="H26" s="87">
        <f>ROUND(19400*Belarus*(1-B66),2)</f>
        <v>19400</v>
      </c>
      <c r="I26" s="1514">
        <f>ROUND(21400*Belarus*(1-B66),2)</f>
        <v>21400</v>
      </c>
      <c r="J26" s="1516"/>
      <c r="K26" s="1514" t="s">
        <v>369</v>
      </c>
      <c r="L26" s="1516"/>
      <c r="M26" s="1514">
        <f>ROUND(20650*Belarus*(1-B66),2)</f>
        <v>20650</v>
      </c>
      <c r="N26" s="1516"/>
      <c r="O26" s="1514">
        <f>ROUND(21750*Belarus*(1-B66),2)</f>
        <v>21750</v>
      </c>
      <c r="P26" s="1516"/>
      <c r="Q26" s="1514">
        <f>ROUND(22850*Belarus*(1-B66),2)</f>
        <v>22850</v>
      </c>
      <c r="R26" s="1516"/>
    </row>
    <row r="27" spans="1:18" s="289" customFormat="1" ht="12.75">
      <c r="A27" s="427" t="s">
        <v>2219</v>
      </c>
      <c r="B27" s="87">
        <f>ROUND(12150*Belarus*(1-B66),2)</f>
        <v>12150</v>
      </c>
      <c r="C27" s="87" t="s">
        <v>369</v>
      </c>
      <c r="D27" s="87">
        <f>ROUND(12900*Belarus*(1-B66),2)</f>
        <v>12900</v>
      </c>
      <c r="E27" s="87" t="s">
        <v>369</v>
      </c>
      <c r="F27" s="87">
        <f>ROUND(13900*Belarus*(1-B66),2)</f>
        <v>13900</v>
      </c>
      <c r="G27" s="87">
        <f>ROUND(14650*Belarus*(1-B66),2)</f>
        <v>14650</v>
      </c>
      <c r="H27" s="87">
        <f>ROUND(15500*Belarus*(1-B66),2)</f>
        <v>15500</v>
      </c>
      <c r="I27" s="1514">
        <f>ROUND(17150*Belarus*(1-B66),2)</f>
        <v>17150</v>
      </c>
      <c r="J27" s="1516"/>
      <c r="K27" s="1514" t="s">
        <v>369</v>
      </c>
      <c r="L27" s="1516"/>
      <c r="M27" s="1514">
        <f>ROUND(17400*Belarus*(1-B66),2)</f>
        <v>17400</v>
      </c>
      <c r="N27" s="1516"/>
      <c r="O27" s="1514">
        <f>ROUND(17300*Belarus*(1-B66),2)</f>
        <v>17300</v>
      </c>
      <c r="P27" s="1516"/>
      <c r="Q27" s="1514">
        <f>ROUND(18300*Belarus*(1-B66),2)</f>
        <v>18300</v>
      </c>
      <c r="R27" s="1516"/>
    </row>
    <row r="28" spans="1:18" s="52" customFormat="1" ht="12.75">
      <c r="A28" s="1634" t="s">
        <v>2161</v>
      </c>
      <c r="B28" s="1635"/>
      <c r="C28" s="1635"/>
      <c r="D28" s="1635"/>
      <c r="E28" s="1635"/>
      <c r="F28" s="1635"/>
      <c r="G28" s="1635"/>
      <c r="H28" s="1635"/>
      <c r="I28" s="1635"/>
      <c r="J28" s="1635"/>
      <c r="K28" s="1635"/>
      <c r="L28" s="1635"/>
      <c r="M28" s="1635"/>
      <c r="N28" s="1635"/>
      <c r="O28" s="1635"/>
      <c r="P28" s="1635"/>
      <c r="Q28" s="1635"/>
      <c r="R28" s="1636"/>
    </row>
    <row r="29" spans="1:18" s="52" customFormat="1" ht="12.75">
      <c r="A29" s="420" t="s">
        <v>2160</v>
      </c>
      <c r="B29" s="1514">
        <f>ROUND(2000*Belarus*(1-F66),2)</f>
        <v>2000</v>
      </c>
      <c r="C29" s="1515"/>
      <c r="D29" s="1515"/>
      <c r="E29" s="1515"/>
      <c r="F29" s="1515"/>
      <c r="G29" s="1515"/>
      <c r="H29" s="1515"/>
      <c r="I29" s="1515"/>
      <c r="J29" s="1515"/>
      <c r="K29" s="1515"/>
      <c r="L29" s="1515"/>
      <c r="M29" s="1515"/>
      <c r="N29" s="1515"/>
      <c r="O29" s="1515"/>
      <c r="P29" s="1515"/>
      <c r="Q29" s="1515"/>
      <c r="R29" s="1516"/>
    </row>
    <row r="30" spans="1:18" s="52" customFormat="1" ht="12.75">
      <c r="A30" s="421" t="s">
        <v>2162</v>
      </c>
      <c r="B30" s="87">
        <f>ROUND(17500*Belarus*(1-F66),2)</f>
        <v>17500</v>
      </c>
      <c r="C30" s="87">
        <f>ROUND(17900*Belarus*(1-F66),2)</f>
        <v>17900</v>
      </c>
      <c r="D30" s="87">
        <f>ROUND(18500*Belarus*(1-F66),2)</f>
        <v>18500</v>
      </c>
      <c r="E30" s="87">
        <f>ROUND(19050*Belarus*(1-F66),2)</f>
        <v>19050</v>
      </c>
      <c r="F30" s="87">
        <f>ROUND(18650*Belarus*(1-F66),2)</f>
        <v>18650</v>
      </c>
      <c r="G30" s="87">
        <f>ROUND(19450*Belarus*(1-F66),2)</f>
        <v>19450</v>
      </c>
      <c r="H30" s="87">
        <f>ROUND(20050*Belarus*(1-F66),2)</f>
        <v>20050</v>
      </c>
      <c r="I30" s="1514">
        <f>ROUND(21000*Belarus*(1-F66),2)</f>
        <v>21000</v>
      </c>
      <c r="J30" s="1516"/>
      <c r="K30" s="1514">
        <f>ROUND(20050*Belarus*(1-F66),2)</f>
        <v>20050</v>
      </c>
      <c r="L30" s="1516"/>
      <c r="M30" s="1514">
        <f>ROUND(20800*Belarus*(1-F66),2)</f>
        <v>20800</v>
      </c>
      <c r="N30" s="1516"/>
      <c r="O30" s="1514">
        <f>ROUND(20800*Belarus*(1-F66),2)</f>
        <v>20800</v>
      </c>
      <c r="P30" s="1516"/>
      <c r="Q30" s="1514">
        <f>ROUND(21400*Belarus*(1-F66),2)</f>
        <v>21400</v>
      </c>
      <c r="R30" s="1516"/>
    </row>
    <row r="31" spans="1:18" s="52" customFormat="1" ht="12.75">
      <c r="A31" s="1639" t="s">
        <v>2220</v>
      </c>
      <c r="B31" s="1639"/>
      <c r="C31" s="1639"/>
      <c r="D31" s="1639"/>
      <c r="E31" s="1639"/>
      <c r="F31" s="1639"/>
      <c r="G31" s="1639"/>
      <c r="H31" s="1639"/>
      <c r="I31" s="1639"/>
      <c r="J31" s="1639"/>
      <c r="K31" s="1639"/>
      <c r="L31" s="1639"/>
      <c r="M31" s="1639"/>
      <c r="N31" s="1639"/>
      <c r="O31" s="1639"/>
      <c r="P31" s="1639"/>
      <c r="Q31" s="1639"/>
      <c r="R31" s="1639"/>
    </row>
    <row r="32" spans="1:18" s="289" customFormat="1" ht="12.75">
      <c r="A32" s="421" t="s">
        <v>2221</v>
      </c>
      <c r="B32" s="1514" t="s">
        <v>369</v>
      </c>
      <c r="C32" s="1515"/>
      <c r="D32" s="1515"/>
      <c r="E32" s="1515"/>
      <c r="F32" s="1515"/>
      <c r="G32" s="1516"/>
      <c r="H32" s="87">
        <f>ROUND(57400*Belarus*(1-B66),2)</f>
        <v>57400</v>
      </c>
      <c r="I32" s="1514" t="s">
        <v>369</v>
      </c>
      <c r="J32" s="1515"/>
      <c r="K32" s="1515"/>
      <c r="L32" s="1515"/>
      <c r="M32" s="1515"/>
      <c r="N32" s="1515"/>
      <c r="O32" s="1515"/>
      <c r="P32" s="1515"/>
      <c r="Q32" s="1516"/>
      <c r="R32" s="87">
        <f>ROUND(73500*Belarus*(1-B66),2)</f>
        <v>73500</v>
      </c>
    </row>
    <row r="33" spans="1:18" s="289" customFormat="1" ht="12.75">
      <c r="A33" s="421" t="s">
        <v>2222</v>
      </c>
      <c r="B33" s="1514" t="s">
        <v>369</v>
      </c>
      <c r="C33" s="1515"/>
      <c r="D33" s="1516"/>
      <c r="E33" s="87">
        <f>ROUND(49000*Belarus*(1-B66),2)</f>
        <v>49000</v>
      </c>
      <c r="F33" s="1514" t="s">
        <v>369</v>
      </c>
      <c r="G33" s="1515"/>
      <c r="H33" s="1515"/>
      <c r="I33" s="1515"/>
      <c r="J33" s="1515"/>
      <c r="K33" s="1515"/>
      <c r="L33" s="1515"/>
      <c r="M33" s="1515"/>
      <c r="N33" s="1515"/>
      <c r="O33" s="1515"/>
      <c r="P33" s="1515"/>
      <c r="Q33" s="1515"/>
      <c r="R33" s="1516"/>
    </row>
    <row r="34" spans="1:18" s="52" customFormat="1" ht="12.75">
      <c r="A34" s="419" t="s">
        <v>307</v>
      </c>
      <c r="B34" s="212" t="s">
        <v>2223</v>
      </c>
      <c r="C34" s="212" t="s">
        <v>2224</v>
      </c>
      <c r="D34" s="212" t="s">
        <v>2225</v>
      </c>
      <c r="E34" s="212" t="s">
        <v>2226</v>
      </c>
      <c r="F34" s="212" t="s">
        <v>2227</v>
      </c>
      <c r="G34" s="212" t="s">
        <v>2228</v>
      </c>
      <c r="H34" s="212" t="s">
        <v>2229</v>
      </c>
      <c r="I34" s="212" t="s">
        <v>2230</v>
      </c>
      <c r="J34" s="212" t="s">
        <v>2231</v>
      </c>
      <c r="K34" s="212" t="s">
        <v>2232</v>
      </c>
      <c r="L34" s="212" t="s">
        <v>2233</v>
      </c>
      <c r="M34" s="212" t="s">
        <v>2234</v>
      </c>
      <c r="N34" s="212" t="s">
        <v>2235</v>
      </c>
      <c r="O34" s="212" t="s">
        <v>2236</v>
      </c>
      <c r="P34" s="212" t="s">
        <v>2204</v>
      </c>
      <c r="Q34" s="212" t="s">
        <v>2205</v>
      </c>
      <c r="R34" s="212" t="s">
        <v>2237</v>
      </c>
    </row>
    <row r="35" spans="1:18" s="52" customFormat="1" ht="12.75">
      <c r="A35" s="419" t="s">
        <v>2040</v>
      </c>
      <c r="B35" s="212" t="s">
        <v>2238</v>
      </c>
      <c r="C35" s="212" t="s">
        <v>2239</v>
      </c>
      <c r="D35" s="212" t="s">
        <v>2240</v>
      </c>
      <c r="E35" s="212" t="s">
        <v>2045</v>
      </c>
      <c r="F35" s="212" t="s">
        <v>2046</v>
      </c>
      <c r="G35" s="212" t="s">
        <v>2047</v>
      </c>
      <c r="H35" s="212" t="s">
        <v>2048</v>
      </c>
      <c r="I35" s="212" t="s">
        <v>2238</v>
      </c>
      <c r="J35" s="212" t="s">
        <v>2241</v>
      </c>
      <c r="K35" s="212" t="s">
        <v>2242</v>
      </c>
      <c r="L35" s="212" t="s">
        <v>2243</v>
      </c>
      <c r="M35" s="212" t="s">
        <v>2244</v>
      </c>
      <c r="N35" s="212" t="s">
        <v>2245</v>
      </c>
      <c r="O35" s="212" t="s">
        <v>2246</v>
      </c>
      <c r="P35" s="212" t="s">
        <v>2051</v>
      </c>
      <c r="Q35" s="212" t="s">
        <v>2052</v>
      </c>
      <c r="R35" s="212" t="s">
        <v>2247</v>
      </c>
    </row>
    <row r="36" spans="1:18" s="289" customFormat="1" ht="12.75">
      <c r="A36" s="421" t="s">
        <v>2248</v>
      </c>
      <c r="B36" s="87" t="s">
        <v>369</v>
      </c>
      <c r="C36" s="87">
        <f>ROUND(48650*Belarus*(1-B66),2)</f>
        <v>48650</v>
      </c>
      <c r="D36" s="87" t="s">
        <v>369</v>
      </c>
      <c r="E36" s="87" t="s">
        <v>369</v>
      </c>
      <c r="F36" s="87" t="s">
        <v>369</v>
      </c>
      <c r="G36" s="87" t="s">
        <v>369</v>
      </c>
      <c r="H36" s="87" t="s">
        <v>369</v>
      </c>
      <c r="I36" s="87" t="s">
        <v>369</v>
      </c>
      <c r="J36" s="87" t="s">
        <v>369</v>
      </c>
      <c r="K36" s="87">
        <f>ROUND(56250*Belarus*(1-B66),2)</f>
        <v>56250</v>
      </c>
      <c r="L36" s="87" t="s">
        <v>369</v>
      </c>
      <c r="M36" s="87" t="s">
        <v>369</v>
      </c>
      <c r="N36" s="87" t="s">
        <v>369</v>
      </c>
      <c r="O36" s="87" t="s">
        <v>369</v>
      </c>
      <c r="P36" s="87" t="s">
        <v>369</v>
      </c>
      <c r="Q36" s="87" t="s">
        <v>369</v>
      </c>
      <c r="R36" s="87"/>
    </row>
    <row r="37" spans="1:18" s="289" customFormat="1" ht="12.75">
      <c r="A37" s="421" t="s">
        <v>2249</v>
      </c>
      <c r="B37" s="87" t="s">
        <v>369</v>
      </c>
      <c r="C37" s="87" t="s">
        <v>369</v>
      </c>
      <c r="D37" s="87" t="s">
        <v>369</v>
      </c>
      <c r="E37" s="87" t="s">
        <v>369</v>
      </c>
      <c r="F37" s="87" t="s">
        <v>369</v>
      </c>
      <c r="G37" s="87" t="s">
        <v>369</v>
      </c>
      <c r="H37" s="87" t="s">
        <v>369</v>
      </c>
      <c r="I37" s="87" t="s">
        <v>369</v>
      </c>
      <c r="J37" s="87" t="s">
        <v>369</v>
      </c>
      <c r="K37" s="87" t="s">
        <v>369</v>
      </c>
      <c r="L37" s="87" t="s">
        <v>369</v>
      </c>
      <c r="M37" s="87">
        <f>ROUND(242000*Belarus*(1-B66),2)</f>
        <v>242000</v>
      </c>
      <c r="N37" s="87" t="s">
        <v>369</v>
      </c>
      <c r="O37" s="87" t="s">
        <v>369</v>
      </c>
      <c r="P37" s="87" t="s">
        <v>369</v>
      </c>
      <c r="Q37" s="87" t="s">
        <v>369</v>
      </c>
      <c r="R37" s="87">
        <f>ROUND(249000*Belarus*(1-B66),2)</f>
        <v>249000</v>
      </c>
    </row>
    <row r="38" spans="1:18" s="289" customFormat="1" ht="12.75">
      <c r="A38" s="421" t="s">
        <v>2250</v>
      </c>
      <c r="B38" s="87" t="s">
        <v>369</v>
      </c>
      <c r="C38" s="87" t="s">
        <v>369</v>
      </c>
      <c r="D38" s="87" t="s">
        <v>369</v>
      </c>
      <c r="E38" s="87" t="s">
        <v>369</v>
      </c>
      <c r="F38" s="87" t="s">
        <v>369</v>
      </c>
      <c r="G38" s="87" t="s">
        <v>369</v>
      </c>
      <c r="H38" s="87" t="s">
        <v>369</v>
      </c>
      <c r="I38" s="87" t="s">
        <v>369</v>
      </c>
      <c r="J38" s="87" t="s">
        <v>369</v>
      </c>
      <c r="K38" s="87" t="s">
        <v>369</v>
      </c>
      <c r="L38" s="87" t="s">
        <v>369</v>
      </c>
      <c r="M38" s="87">
        <f>ROUND(15600*Belarus*(1-B66),2)</f>
        <v>15600</v>
      </c>
      <c r="N38" s="87" t="s">
        <v>369</v>
      </c>
      <c r="O38" s="87" t="s">
        <v>369</v>
      </c>
      <c r="P38" s="87" t="s">
        <v>369</v>
      </c>
      <c r="Q38" s="87" t="s">
        <v>369</v>
      </c>
      <c r="R38" s="87">
        <f>ROUND(16000*Belarus*(1-B66),2)</f>
        <v>16000</v>
      </c>
    </row>
    <row r="39" spans="1:18" s="289" customFormat="1" ht="12.75">
      <c r="A39" s="431" t="s">
        <v>2251</v>
      </c>
      <c r="B39" s="87" t="s">
        <v>369</v>
      </c>
      <c r="C39" s="87" t="s">
        <v>369</v>
      </c>
      <c r="D39" s="87" t="s">
        <v>369</v>
      </c>
      <c r="E39" s="87" t="s">
        <v>369</v>
      </c>
      <c r="F39" s="87" t="s">
        <v>369</v>
      </c>
      <c r="G39" s="87" t="s">
        <v>369</v>
      </c>
      <c r="H39" s="87" t="s">
        <v>369</v>
      </c>
      <c r="I39" s="87" t="s">
        <v>369</v>
      </c>
      <c r="J39" s="87" t="s">
        <v>369</v>
      </c>
      <c r="K39" s="87" t="s">
        <v>369</v>
      </c>
      <c r="L39" s="87" t="s">
        <v>369</v>
      </c>
      <c r="M39" s="87">
        <f>ROUND(11850*Belarus*(1-B66),2)</f>
        <v>11850</v>
      </c>
      <c r="N39" s="87" t="s">
        <v>369</v>
      </c>
      <c r="O39" s="87" t="s">
        <v>369</v>
      </c>
      <c r="P39" s="87" t="s">
        <v>369</v>
      </c>
      <c r="Q39" s="87" t="s">
        <v>369</v>
      </c>
      <c r="R39" s="87">
        <f>ROUND(12000*Belarus*(1-B66),2)</f>
        <v>12000</v>
      </c>
    </row>
    <row r="40" spans="1:18" s="289" customFormat="1" ht="12.75">
      <c r="A40" s="421" t="s">
        <v>2252</v>
      </c>
      <c r="B40" s="87">
        <f>ROUND(47450*Belarus*(1-B66),2)</f>
        <v>47450</v>
      </c>
      <c r="C40" s="87" t="s">
        <v>369</v>
      </c>
      <c r="D40" s="87">
        <f>ROUND(54250*Belarus*(1-B66),2)</f>
        <v>54250</v>
      </c>
      <c r="E40" s="87" t="s">
        <v>369</v>
      </c>
      <c r="F40" s="87" t="s">
        <v>369</v>
      </c>
      <c r="G40" s="87" t="s">
        <v>369</v>
      </c>
      <c r="H40" s="87" t="s">
        <v>369</v>
      </c>
      <c r="I40" s="87" t="s">
        <v>369</v>
      </c>
      <c r="J40" s="87">
        <f>ROUND(52150*Belarus*(1-B66),2)</f>
        <v>52150</v>
      </c>
      <c r="K40" s="87" t="s">
        <v>369</v>
      </c>
      <c r="L40" s="87">
        <f>ROUND(60500*Belarus*(1-B66),2)</f>
        <v>60500</v>
      </c>
      <c r="M40" s="87" t="s">
        <v>369</v>
      </c>
      <c r="N40" s="87">
        <f>ROUND(61000*Belarus*(1-B66),2)</f>
        <v>61000</v>
      </c>
      <c r="O40" s="87">
        <f>ROUND(66250*Belarus*(1-B66),2)</f>
        <v>66250</v>
      </c>
      <c r="P40" s="87" t="s">
        <v>369</v>
      </c>
      <c r="Q40" s="87" t="s">
        <v>369</v>
      </c>
      <c r="R40" s="87" t="s">
        <v>369</v>
      </c>
    </row>
    <row r="41" spans="1:18" s="289" customFormat="1" ht="12.75">
      <c r="A41" s="421" t="s">
        <v>2253</v>
      </c>
      <c r="B41" s="87" t="s">
        <v>369</v>
      </c>
      <c r="C41" s="87" t="s">
        <v>369</v>
      </c>
      <c r="D41" s="87" t="s">
        <v>369</v>
      </c>
      <c r="E41" s="87">
        <f>ROUND(10600*Belarus*(1-B66),2)</f>
        <v>10600</v>
      </c>
      <c r="F41" s="87">
        <f>ROUND(11950*Belarus*(1-B66),2)</f>
        <v>11950</v>
      </c>
      <c r="G41" s="87">
        <f>ROUND(13000*Belarus*(1-B66),2)</f>
        <v>13000</v>
      </c>
      <c r="H41" s="87">
        <f>ROUND(15150*Belarus*(1-B66),2)</f>
        <v>15150</v>
      </c>
      <c r="I41" s="87">
        <f>ROUND(14200*Belarus*(1-B66),2)</f>
        <v>14200</v>
      </c>
      <c r="J41" s="87" t="s">
        <v>369</v>
      </c>
      <c r="K41" s="87" t="s">
        <v>369</v>
      </c>
      <c r="L41" s="87" t="s">
        <v>369</v>
      </c>
      <c r="M41" s="87" t="s">
        <v>369</v>
      </c>
      <c r="N41" s="87" t="s">
        <v>369</v>
      </c>
      <c r="O41" s="87" t="s">
        <v>369</v>
      </c>
      <c r="P41" s="87">
        <f>ROUND(14050*Belarus*(1-B66),2)</f>
        <v>14050</v>
      </c>
      <c r="Q41" s="87">
        <f>ROUND(15500*Belarus*(1-B66),2)</f>
        <v>15500</v>
      </c>
      <c r="R41" s="87" t="s">
        <v>369</v>
      </c>
    </row>
    <row r="42" spans="1:18" s="289" customFormat="1" ht="12.75">
      <c r="A42" s="421" t="s">
        <v>2254</v>
      </c>
      <c r="B42" s="87"/>
      <c r="C42" s="87"/>
      <c r="D42" s="87"/>
      <c r="E42" s="87">
        <f>ROUND(9700*Belarus*(1-B66),2)</f>
        <v>9700</v>
      </c>
      <c r="F42" s="87">
        <f>ROUND(10900*Belarus*(1-B66),2)</f>
        <v>10900</v>
      </c>
      <c r="G42" s="87">
        <f>ROUND(11850*Belarus*(1-B66),2)</f>
        <v>11850</v>
      </c>
      <c r="H42" s="87">
        <f>ROUND(13850*Belarus*(1-B66),2)</f>
        <v>13850</v>
      </c>
      <c r="I42" s="87">
        <f>ROUND(12950*Belarus*(1-B66),2)</f>
        <v>12950</v>
      </c>
      <c r="J42" s="87" t="s">
        <v>369</v>
      </c>
      <c r="K42" s="87" t="s">
        <v>369</v>
      </c>
      <c r="L42" s="87" t="s">
        <v>369</v>
      </c>
      <c r="M42" s="87" t="s">
        <v>369</v>
      </c>
      <c r="N42" s="87" t="s">
        <v>369</v>
      </c>
      <c r="O42" s="87" t="s">
        <v>369</v>
      </c>
      <c r="P42" s="87">
        <f>ROUND(12850*Belarus*(1-B66),2)</f>
        <v>12850</v>
      </c>
      <c r="Q42" s="87">
        <f>ROUND(14150*Belarus*(1-B66),2)</f>
        <v>14150</v>
      </c>
      <c r="R42" s="87" t="s">
        <v>369</v>
      </c>
    </row>
    <row r="43" spans="1:18" s="52" customFormat="1" ht="12.75">
      <c r="A43" s="1639" t="s">
        <v>2255</v>
      </c>
      <c r="B43" s="1639"/>
      <c r="C43" s="1639"/>
      <c r="D43" s="1639"/>
      <c r="E43" s="1639"/>
      <c r="F43" s="1639"/>
      <c r="G43" s="1639"/>
      <c r="H43" s="1639"/>
      <c r="I43" s="1639"/>
      <c r="J43" s="1639"/>
      <c r="K43" s="1639"/>
      <c r="L43" s="1639"/>
      <c r="M43" s="2306"/>
      <c r="N43" s="2306"/>
      <c r="O43" s="1639"/>
      <c r="P43" s="1639"/>
      <c r="Q43" s="1639"/>
      <c r="R43" s="1639"/>
    </row>
    <row r="44" spans="1:18" s="52" customFormat="1" ht="12.75">
      <c r="A44" s="419" t="s">
        <v>2040</v>
      </c>
      <c r="B44" s="212" t="s">
        <v>2041</v>
      </c>
      <c r="C44" s="212" t="s">
        <v>2122</v>
      </c>
      <c r="D44" s="212" t="s">
        <v>2123</v>
      </c>
      <c r="E44" s="212" t="s">
        <v>2044</v>
      </c>
      <c r="F44" s="212" t="s">
        <v>2045</v>
      </c>
      <c r="G44" s="212" t="s">
        <v>2046</v>
      </c>
      <c r="H44" s="212" t="s">
        <v>2047</v>
      </c>
      <c r="I44" s="1634" t="s">
        <v>2048</v>
      </c>
      <c r="J44" s="1636"/>
      <c r="K44" s="1634" t="s">
        <v>2049</v>
      </c>
      <c r="L44" s="1636"/>
      <c r="M44" s="1634" t="s">
        <v>2050</v>
      </c>
      <c r="N44" s="1636"/>
      <c r="O44" s="1634" t="s">
        <v>2051</v>
      </c>
      <c r="P44" s="1636"/>
      <c r="Q44" s="1634" t="s">
        <v>2052</v>
      </c>
      <c r="R44" s="1636"/>
    </row>
    <row r="45" spans="1:18" s="289" customFormat="1" ht="12.75">
      <c r="A45" s="421" t="s">
        <v>2256</v>
      </c>
      <c r="B45" s="87">
        <f>ROUND(4600*Belarus*(1-L66),2)</f>
        <v>4600</v>
      </c>
      <c r="C45" s="87">
        <f>ROUND(4900*Belarus*(1-L66),2)</f>
        <v>4900</v>
      </c>
      <c r="D45" s="87">
        <f>ROUND(5300*Belarus*(1-L66),2)</f>
        <v>5300</v>
      </c>
      <c r="E45" s="87">
        <f>ROUND(5700*Belarus*(1-L66),2)</f>
        <v>5700</v>
      </c>
      <c r="F45" s="87">
        <f>ROUND(5550*Belarus*(1-L66),2)</f>
        <v>5550</v>
      </c>
      <c r="G45" s="87">
        <f>ROUND(5950*Belarus*(1-L66),2)</f>
        <v>5950</v>
      </c>
      <c r="H45" s="87">
        <f>ROUND(6350*Belarus*(1-L66),2)</f>
        <v>6350</v>
      </c>
      <c r="I45" s="1295">
        <f>ROUND(7150*Belarus*(1-L66),2)</f>
        <v>7150</v>
      </c>
      <c r="J45" s="1295"/>
      <c r="K45" s="1295">
        <f>ROUND(6550*Belarus*(1-L66),2)</f>
        <v>6550</v>
      </c>
      <c r="L45" s="1295"/>
      <c r="M45" s="1295">
        <f>ROUND(7150*Belarus*(1-L66),2)</f>
        <v>7150</v>
      </c>
      <c r="N45" s="1295"/>
      <c r="O45" s="1515">
        <f>ROUND(7450*Belarus*(1-L66),2)</f>
        <v>7450</v>
      </c>
      <c r="P45" s="1516"/>
      <c r="Q45" s="1514">
        <f>ROUND(7750*Belarus*(1-L66),2)</f>
        <v>7750</v>
      </c>
      <c r="R45" s="1516"/>
    </row>
    <row r="46" spans="1:18" s="289" customFormat="1" ht="12.75">
      <c r="A46" s="421" t="s">
        <v>2257</v>
      </c>
      <c r="B46" s="87">
        <f>ROUND(2450*Belarus*(1-L66),2)</f>
        <v>2450</v>
      </c>
      <c r="C46" s="87">
        <f>ROUND(2450*Belarus*(1-L66),2)</f>
        <v>2450</v>
      </c>
      <c r="D46" s="87">
        <f>ROUND(2850*Belarus*(1-L66),2)</f>
        <v>2850</v>
      </c>
      <c r="E46" s="87">
        <f>ROUND(2850*Belarus*(1-L66),2)</f>
        <v>2850</v>
      </c>
      <c r="F46" s="87">
        <f>ROUND(3150*Belarus*(1-L66),2)</f>
        <v>3150</v>
      </c>
      <c r="G46" s="87">
        <f>ROUND(3150*Belarus*(1-L66),2)</f>
        <v>3150</v>
      </c>
      <c r="H46" s="87">
        <f>ROUND(3150*Belarus*(1-L66),2)</f>
        <v>3150</v>
      </c>
      <c r="I46" s="1295">
        <f>ROUND(3150*Belarus*(1-L66),2)</f>
        <v>3150</v>
      </c>
      <c r="J46" s="1295"/>
      <c r="K46" s="1295">
        <f>ROUND(3750*Belarus*(1-L66),2)</f>
        <v>3750</v>
      </c>
      <c r="L46" s="1295"/>
      <c r="M46" s="1295">
        <f>ROUND(3750*Belarus*(1-L66),2)</f>
        <v>3750</v>
      </c>
      <c r="N46" s="1295"/>
      <c r="O46" s="1515">
        <f>ROUND(4150*Belarus*(1-L66),2)</f>
        <v>4150</v>
      </c>
      <c r="P46" s="1516"/>
      <c r="Q46" s="1514">
        <f>ROUND(4150*Belarus*(1-L66),2)</f>
        <v>4150</v>
      </c>
      <c r="R46" s="1516"/>
    </row>
    <row r="47" spans="1:18" s="289" customFormat="1" ht="12.75">
      <c r="A47" s="421" t="s">
        <v>2258</v>
      </c>
      <c r="B47" s="87">
        <f>ROUND(18150*Belarus*(1-L66),2)</f>
        <v>18150</v>
      </c>
      <c r="C47" s="87">
        <f>ROUND(18450*Belarus*(1-L66),2)</f>
        <v>18450</v>
      </c>
      <c r="D47" s="87">
        <f>ROUND(18850*Belarus*(1-L66),2)</f>
        <v>18850</v>
      </c>
      <c r="E47" s="87">
        <f>ROUND(19250*Belarus*(1-L66),2)</f>
        <v>19250</v>
      </c>
      <c r="F47" s="87">
        <f>ROUND(19100*Belarus*(1-L66),2)</f>
        <v>19100</v>
      </c>
      <c r="G47" s="87">
        <f>ROUND(19500*Belarus*(1-L66),2)</f>
        <v>19500</v>
      </c>
      <c r="H47" s="87">
        <f>ROUND(19900*Belarus*(1-L66),2)</f>
        <v>19900</v>
      </c>
      <c r="I47" s="1295">
        <f>ROUND(20700*Belarus*(1-L66),2)</f>
        <v>20700</v>
      </c>
      <c r="J47" s="1295"/>
      <c r="K47" s="1295">
        <f>ROUND(20100*Belarus*(1-L66),2)</f>
        <v>20100</v>
      </c>
      <c r="L47" s="1295"/>
      <c r="M47" s="1295">
        <f>ROUND(20700*Belarus*(1-L66),2)</f>
        <v>20700</v>
      </c>
      <c r="N47" s="1295"/>
      <c r="O47" s="1515">
        <f>ROUND(21000*Belarus*(1-L66),2)</f>
        <v>21000</v>
      </c>
      <c r="P47" s="1516"/>
      <c r="Q47" s="1514">
        <f>ROUND(21300*Belarus*(1-L66),2)</f>
        <v>21300</v>
      </c>
      <c r="R47" s="1516"/>
    </row>
    <row r="48" spans="1:18" s="289" customFormat="1" ht="12.75">
      <c r="A48" s="421" t="s">
        <v>2259</v>
      </c>
      <c r="B48" s="87">
        <f>ROUND(5400*Belarus*(1-L66),2)</f>
        <v>5400</v>
      </c>
      <c r="C48" s="87">
        <f>ROUND(5750*Belarus*(1-L66),2)</f>
        <v>5750</v>
      </c>
      <c r="D48" s="87">
        <f>ROUND(6250*Belarus*(1-L66),2)</f>
        <v>6250</v>
      </c>
      <c r="E48" s="87">
        <f>ROUND(6700*Belarus*(1-L66),2)</f>
        <v>6700</v>
      </c>
      <c r="F48" s="87">
        <f>ROUND(6500*Belarus*(1-L66),2)</f>
        <v>6500</v>
      </c>
      <c r="G48" s="87">
        <f>ROUND(7000*Belarus*(1-L66),2)</f>
        <v>7000</v>
      </c>
      <c r="H48" s="87">
        <f>ROUND(7500*Belarus*(1-L66),2)</f>
        <v>7500</v>
      </c>
      <c r="I48" s="1295">
        <f>ROUND(8400*Belarus*(1-L66),2)</f>
        <v>8400</v>
      </c>
      <c r="J48" s="1295"/>
      <c r="K48" s="1295">
        <f>ROUND(7700*Belarus*(1-L66),2)</f>
        <v>7700</v>
      </c>
      <c r="L48" s="1295"/>
      <c r="M48" s="1295">
        <f>ROUND(8400*Belarus*(1-L66),2)</f>
        <v>8400</v>
      </c>
      <c r="N48" s="1295"/>
      <c r="O48" s="1515">
        <f>ROUND(8750*Belarus*(1-L66),2)</f>
        <v>8750</v>
      </c>
      <c r="P48" s="1516"/>
      <c r="Q48" s="1514">
        <f>ROUND(9100*Belarus*(1-L66),2)</f>
        <v>9100</v>
      </c>
      <c r="R48" s="1516"/>
    </row>
    <row r="49" spans="1:18" s="289" customFormat="1" ht="12.75">
      <c r="A49" s="421" t="s">
        <v>2260</v>
      </c>
      <c r="B49" s="87">
        <f>ROUND(7000*Belarus*(1-L66),2)</f>
        <v>7000</v>
      </c>
      <c r="C49" s="87">
        <f>ROUND(7450*Belarus*(1-L66),2)</f>
        <v>7450</v>
      </c>
      <c r="D49" s="87">
        <f>ROUND(8100*Belarus*(1-L66),2)</f>
        <v>8100</v>
      </c>
      <c r="E49" s="87">
        <f>ROUND(8750*Belarus*(1-L66),2)</f>
        <v>8750</v>
      </c>
      <c r="F49" s="87">
        <f>ROUND(8450*Belarus*(1-L66),2)</f>
        <v>8450</v>
      </c>
      <c r="G49" s="87">
        <f>ROUND(9100*Belarus*(1-L66),2)</f>
        <v>9100</v>
      </c>
      <c r="H49" s="87">
        <f>ROUND(9750*Belarus*(1-L66),2)</f>
        <v>9750</v>
      </c>
      <c r="I49" s="1514">
        <f>ROUND(10900*Belarus*(1-L66),2)</f>
        <v>10900</v>
      </c>
      <c r="J49" s="1516"/>
      <c r="K49" s="1295">
        <f>ROUND(10000*Belarus*(1-L66),2)</f>
        <v>10000</v>
      </c>
      <c r="L49" s="1295"/>
      <c r="M49" s="1295">
        <f>ROUND(10900*Belarus*(1-L66),2)</f>
        <v>10900</v>
      </c>
      <c r="N49" s="1295"/>
      <c r="O49" s="1515">
        <f>ROUND(11400*Belarus*(1-L66),2)</f>
        <v>11400</v>
      </c>
      <c r="P49" s="1516"/>
      <c r="Q49" s="1514">
        <f>ROUND(11850*Belarus*(1-L66),2)</f>
        <v>11850</v>
      </c>
      <c r="R49" s="1516"/>
    </row>
    <row r="50" spans="1:18" s="289" customFormat="1" ht="12.75">
      <c r="A50" s="421" t="s">
        <v>2261</v>
      </c>
      <c r="B50" s="87">
        <f>ROUND(6450*Belarus*(1-L66),2)</f>
        <v>6450</v>
      </c>
      <c r="C50" s="87">
        <f>ROUND(6900*Belarus*(1-L66),2)</f>
        <v>6900</v>
      </c>
      <c r="D50" s="87">
        <f>ROUND(7500*Belarus*(1-L66),2)</f>
        <v>7500</v>
      </c>
      <c r="E50" s="87">
        <f>ROUND(8050*Belarus*(1-L66),2)</f>
        <v>8050</v>
      </c>
      <c r="F50" s="87">
        <f>ROUND(7800*Belarus*(1-L66),2)</f>
        <v>7800</v>
      </c>
      <c r="G50" s="87">
        <f>ROUND(8400*Belarus*(1-L66),2)</f>
        <v>8400</v>
      </c>
      <c r="H50" s="87">
        <f>ROUND(9000*Belarus*(1-L66),2)</f>
        <v>9000</v>
      </c>
      <c r="I50" s="1295">
        <f>ROUND(10100*Belarus*(1-L66),2)</f>
        <v>10100</v>
      </c>
      <c r="J50" s="1295"/>
      <c r="K50" s="1295">
        <f>ROUND(9250*Belarus*(1-L66),2)</f>
        <v>9250</v>
      </c>
      <c r="L50" s="1295"/>
      <c r="M50" s="1295">
        <f>ROUND(10100*Belarus*(1-L66),2)</f>
        <v>10100</v>
      </c>
      <c r="N50" s="1295"/>
      <c r="O50" s="1515">
        <f>ROUND(10500*Belarus*(1-L66),2)</f>
        <v>10500</v>
      </c>
      <c r="P50" s="1516"/>
      <c r="Q50" s="1514">
        <f>ROUND(10900*Belarus*(1-L66),2)</f>
        <v>10900</v>
      </c>
      <c r="R50" s="1516"/>
    </row>
    <row r="51" spans="1:18" s="289" customFormat="1" ht="12.75">
      <c r="A51" s="421" t="s">
        <v>2262</v>
      </c>
      <c r="B51" s="87">
        <f>ROUND(3450*Belarus*(1-L66),2)</f>
        <v>3450</v>
      </c>
      <c r="C51" s="87">
        <f>ROUND(3450*Belarus*(1-L66),2)</f>
        <v>3450</v>
      </c>
      <c r="D51" s="87">
        <f>ROUND(4000*Belarus*(1-L66),2)</f>
        <v>4000</v>
      </c>
      <c r="E51" s="87">
        <f>ROUND(4000*Belarus*(1-L66),2)</f>
        <v>4000</v>
      </c>
      <c r="F51" s="87">
        <f>ROUND(4450*Belarus*(1-L66),2)</f>
        <v>4450</v>
      </c>
      <c r="G51" s="87">
        <f>ROUND(4450*Belarus*(1-L66),2)</f>
        <v>4450</v>
      </c>
      <c r="H51" s="87">
        <f>ROUND(4450*Belarus*(1-L66),2)</f>
        <v>4450</v>
      </c>
      <c r="I51" s="1295">
        <f>ROUND(4450*Belarus*(1-L66),2)</f>
        <v>4450</v>
      </c>
      <c r="J51" s="1295"/>
      <c r="K51" s="1295">
        <f>ROUND(5250*Belarus*(1-L66),2)</f>
        <v>5250</v>
      </c>
      <c r="L51" s="1295"/>
      <c r="M51" s="1295" t="s">
        <v>369</v>
      </c>
      <c r="N51" s="1295"/>
      <c r="O51" s="1515">
        <f>ROUND(5850*Belarus*(1-L66),2)</f>
        <v>5850</v>
      </c>
      <c r="P51" s="1516"/>
      <c r="Q51" s="1514">
        <f>ROUND(5850*Belarus*(1-L66),2)</f>
        <v>5850</v>
      </c>
      <c r="R51" s="1516"/>
    </row>
    <row r="52" spans="1:18" s="289" customFormat="1" ht="12.75">
      <c r="A52" s="421" t="s">
        <v>2263</v>
      </c>
      <c r="B52" s="87">
        <f>ROUND(3450*Belarus*(1-L66),2)</f>
        <v>3450</v>
      </c>
      <c r="C52" s="87">
        <f>ROUND(3450*Belarus*(1-L66),2)</f>
        <v>3450</v>
      </c>
      <c r="D52" s="87">
        <f>ROUND(4000*Belarus*(1-L66),2)</f>
        <v>4000</v>
      </c>
      <c r="E52" s="87">
        <f>ROUND(4000*Belarus*(1-L66),2)</f>
        <v>4000</v>
      </c>
      <c r="F52" s="87" t="s">
        <v>369</v>
      </c>
      <c r="G52" s="87" t="s">
        <v>369</v>
      </c>
      <c r="H52" s="87" t="s">
        <v>369</v>
      </c>
      <c r="I52" s="1295" t="s">
        <v>369</v>
      </c>
      <c r="J52" s="1295"/>
      <c r="K52" s="1295">
        <f>ROUND(5250*Belarus*(1-L66),2)</f>
        <v>5250</v>
      </c>
      <c r="L52" s="1295"/>
      <c r="M52" s="1295">
        <f>ROUND(5250*Belarus*(1-L66),2)</f>
        <v>5250</v>
      </c>
      <c r="N52" s="1295"/>
      <c r="O52" s="1515" t="s">
        <v>369</v>
      </c>
      <c r="P52" s="1516"/>
      <c r="Q52" s="1514" t="s">
        <v>369</v>
      </c>
      <c r="R52" s="1516"/>
    </row>
    <row r="53" spans="1:18" s="289" customFormat="1" ht="12.75">
      <c r="A53" s="421" t="s">
        <v>2264</v>
      </c>
      <c r="B53" s="87">
        <f>ROUND(24700*Belarus*(1-L66),2)</f>
        <v>24700</v>
      </c>
      <c r="C53" s="87">
        <f>ROUND(26200*Belarus*(1-L66),2)</f>
        <v>26200</v>
      </c>
      <c r="D53" s="87">
        <f>ROUND(27100*Belarus*(1-L66),2)</f>
        <v>27100</v>
      </c>
      <c r="E53" s="87">
        <f>ROUND(28300*Belarus*(1-L66),2)</f>
        <v>28300</v>
      </c>
      <c r="F53" s="87">
        <f>ROUND(28000*Belarus*(1-L66),2)</f>
        <v>28000</v>
      </c>
      <c r="G53" s="87">
        <f>ROUND(29500*Belarus*(1-L66),2)</f>
        <v>29500</v>
      </c>
      <c r="H53" s="87">
        <f>ROUND(30900*Belarus*(1-L66),2)</f>
        <v>30900</v>
      </c>
      <c r="I53" s="1295">
        <f>ROUND(32400*Belarus*(1-L66),2)</f>
        <v>32400</v>
      </c>
      <c r="J53" s="1295"/>
      <c r="K53" s="1295">
        <f>ROUND(31800*Belarus*(1-L66),2)</f>
        <v>31800</v>
      </c>
      <c r="L53" s="1295"/>
      <c r="M53" s="1295">
        <f>ROUND(33600*Belarus*(1-L66),2)</f>
        <v>33600</v>
      </c>
      <c r="N53" s="1295"/>
      <c r="O53" s="1515">
        <f>ROUND(34200*Belarus*(1-L66),2)</f>
        <v>34200</v>
      </c>
      <c r="P53" s="1516"/>
      <c r="Q53" s="1514">
        <f>ROUND(36500*Belarus*(1-L66),2)</f>
        <v>36500</v>
      </c>
      <c r="R53" s="1516"/>
    </row>
    <row r="54" spans="1:18" s="289" customFormat="1" ht="12.75">
      <c r="A54" s="421" t="s">
        <v>2265</v>
      </c>
      <c r="B54" s="87">
        <f>ROUND(6800*Belarus*(1-L66),2)</f>
        <v>6800</v>
      </c>
      <c r="C54" s="87">
        <f>ROUND(7200*Belarus*(1-L66),2)</f>
        <v>7200</v>
      </c>
      <c r="D54" s="87">
        <f>ROUND(8250*Belarus*(1-L66),2)</f>
        <v>8250</v>
      </c>
      <c r="E54" s="87">
        <f>ROUND(8250*Belarus*(1-L66),2)</f>
        <v>8250</v>
      </c>
      <c r="F54" s="87">
        <f>ROUND(8250*Belarus*(1-L66),2)</f>
        <v>8250</v>
      </c>
      <c r="G54" s="87">
        <f>ROUND(8250*Belarus*(1-L66),2)</f>
        <v>8250</v>
      </c>
      <c r="H54" s="87">
        <f>ROUND(9300*Belarus*(1-L66),2)</f>
        <v>9300</v>
      </c>
      <c r="I54" s="1295">
        <f>ROUND(9300*Belarus*(1-L66),2)</f>
        <v>9300</v>
      </c>
      <c r="J54" s="1295"/>
      <c r="K54" s="1295">
        <f>ROUND(9300*Belarus*(1-L66),2)</f>
        <v>9300</v>
      </c>
      <c r="L54" s="1295"/>
      <c r="M54" s="1295">
        <f>ROUND(10900*Belarus*(1-L66),2)</f>
        <v>10900</v>
      </c>
      <c r="N54" s="1295"/>
      <c r="O54" s="1515">
        <f>ROUND(11800*Belarus*(1-L66),2)</f>
        <v>11800</v>
      </c>
      <c r="P54" s="1516"/>
      <c r="Q54" s="1514">
        <f>ROUND(11800*Belarus*(1-L66),2)</f>
        <v>11800</v>
      </c>
      <c r="R54" s="1516"/>
    </row>
    <row r="55" spans="1:18" s="52" customFormat="1" ht="12.75">
      <c r="A55" s="1639" t="s">
        <v>2266</v>
      </c>
      <c r="B55" s="1639"/>
      <c r="C55" s="1639"/>
      <c r="D55" s="1639"/>
      <c r="E55" s="1639"/>
      <c r="F55" s="1639"/>
      <c r="G55" s="1639"/>
      <c r="H55" s="1639"/>
      <c r="I55" s="1639"/>
      <c r="J55" s="1639"/>
      <c r="K55" s="1639"/>
      <c r="L55" s="1639"/>
      <c r="M55" s="2307"/>
      <c r="N55" s="2307"/>
      <c r="O55" s="1639"/>
      <c r="P55" s="1639"/>
      <c r="Q55" s="1639"/>
      <c r="R55" s="1639"/>
    </row>
    <row r="56" spans="1:18" s="289" customFormat="1" ht="12.75">
      <c r="A56" s="421" t="s">
        <v>2267</v>
      </c>
      <c r="B56" s="1514">
        <f>ROUND(1800*Belarus*(1-L66),2)</f>
        <v>1800</v>
      </c>
      <c r="C56" s="1515"/>
      <c r="D56" s="1515"/>
      <c r="E56" s="1515"/>
      <c r="F56" s="1515"/>
      <c r="G56" s="1515"/>
      <c r="H56" s="1515"/>
      <c r="I56" s="1515"/>
      <c r="J56" s="1515"/>
      <c r="K56" s="1515"/>
      <c r="L56" s="1515"/>
      <c r="M56" s="1515"/>
      <c r="N56" s="1515"/>
      <c r="O56" s="1515"/>
      <c r="P56" s="1515"/>
      <c r="Q56" s="1515"/>
      <c r="R56" s="1516"/>
    </row>
    <row r="57" spans="1:18" s="289" customFormat="1" ht="12.75">
      <c r="A57" s="421" t="s">
        <v>2268</v>
      </c>
      <c r="B57" s="1514">
        <f>ROUND(1000*Belarus*(1-L66),2)</f>
        <v>1000</v>
      </c>
      <c r="C57" s="1515"/>
      <c r="D57" s="1515"/>
      <c r="E57" s="1515"/>
      <c r="F57" s="1515"/>
      <c r="G57" s="1515"/>
      <c r="H57" s="1515"/>
      <c r="I57" s="1515"/>
      <c r="J57" s="1515"/>
      <c r="K57" s="1515"/>
      <c r="L57" s="1515"/>
      <c r="M57" s="1515"/>
      <c r="N57" s="1515"/>
      <c r="O57" s="1515"/>
      <c r="P57" s="1515"/>
      <c r="Q57" s="1515"/>
      <c r="R57" s="1516"/>
    </row>
    <row r="58" spans="1:18" s="289" customFormat="1" ht="12.75">
      <c r="A58" s="421" t="s">
        <v>2269</v>
      </c>
      <c r="B58" s="1514">
        <f>ROUND(1350*Belarus*(1-L66),2)</f>
        <v>1350</v>
      </c>
      <c r="C58" s="1515"/>
      <c r="D58" s="1515"/>
      <c r="E58" s="1515"/>
      <c r="F58" s="1515"/>
      <c r="G58" s="1515"/>
      <c r="H58" s="1515"/>
      <c r="I58" s="1515"/>
      <c r="J58" s="1515"/>
      <c r="K58" s="1515"/>
      <c r="L58" s="1515"/>
      <c r="M58" s="1515"/>
      <c r="N58" s="1515"/>
      <c r="O58" s="1515"/>
      <c r="P58" s="1515"/>
      <c r="Q58" s="1515"/>
      <c r="R58" s="1516"/>
    </row>
    <row r="59" spans="1:18" s="289" customFormat="1" ht="12.75">
      <c r="A59" s="421" t="s">
        <v>2270</v>
      </c>
      <c r="B59" s="1514">
        <f>ROUND(600*Belarus*(1-L66),2)</f>
        <v>600</v>
      </c>
      <c r="C59" s="1515"/>
      <c r="D59" s="1515"/>
      <c r="E59" s="1515"/>
      <c r="F59" s="1515"/>
      <c r="G59" s="1515"/>
      <c r="H59" s="1515"/>
      <c r="I59" s="1515"/>
      <c r="J59" s="1515"/>
      <c r="K59" s="1515"/>
      <c r="L59" s="1515"/>
      <c r="M59" s="1515"/>
      <c r="N59" s="1515"/>
      <c r="O59" s="1515"/>
      <c r="P59" s="1515"/>
      <c r="Q59" s="1515"/>
      <c r="R59" s="1516"/>
    </row>
    <row r="60" spans="1:18" s="289" customFormat="1" ht="12.75">
      <c r="A60" s="421" t="s">
        <v>2271</v>
      </c>
      <c r="B60" s="1514">
        <f>ROUND(600*Belarus*(1-L66),2)</f>
        <v>600</v>
      </c>
      <c r="C60" s="1515"/>
      <c r="D60" s="1515"/>
      <c r="E60" s="1515"/>
      <c r="F60" s="1515"/>
      <c r="G60" s="1515"/>
      <c r="H60" s="1515"/>
      <c r="I60" s="1515"/>
      <c r="J60" s="1515"/>
      <c r="K60" s="1515"/>
      <c r="L60" s="1515"/>
      <c r="M60" s="1515"/>
      <c r="N60" s="1515"/>
      <c r="O60" s="1515"/>
      <c r="P60" s="1515"/>
      <c r="Q60" s="1515"/>
      <c r="R60" s="1516"/>
    </row>
    <row r="61" spans="1:18" s="52" customFormat="1" ht="12.75">
      <c r="A61" s="1332"/>
      <c r="B61" s="1332"/>
      <c r="C61" s="1332"/>
      <c r="D61" s="1332"/>
      <c r="E61" s="1332"/>
      <c r="F61" s="1332"/>
      <c r="G61" s="1332"/>
      <c r="H61" s="1332"/>
      <c r="I61" s="1332"/>
      <c r="J61" s="1332"/>
      <c r="K61" s="1332"/>
      <c r="L61" s="1332"/>
      <c r="M61" s="1332"/>
      <c r="N61" s="1332"/>
      <c r="O61" s="1332"/>
      <c r="P61" s="1332"/>
      <c r="Q61" s="1332"/>
      <c r="R61" s="1332"/>
    </row>
    <row r="62" spans="1:18" s="52" customFormat="1" ht="12.75">
      <c r="A62" s="1296" t="s">
        <v>2188</v>
      </c>
      <c r="B62" s="1296"/>
      <c r="C62" s="1296"/>
      <c r="D62" s="1296"/>
      <c r="E62" s="1296"/>
      <c r="F62" s="1296"/>
      <c r="G62" s="1296"/>
      <c r="H62" s="1296"/>
      <c r="I62" s="1296"/>
      <c r="J62" s="1296"/>
      <c r="K62" s="1296"/>
      <c r="L62" s="1296"/>
      <c r="M62" s="1296"/>
      <c r="N62" s="1296"/>
      <c r="O62" s="1296"/>
      <c r="P62" s="1296"/>
      <c r="Q62" s="1296"/>
      <c r="R62" s="1296"/>
    </row>
    <row r="63" spans="1:18" s="52" customFormat="1" ht="12.75">
      <c r="A63" s="2303" t="s">
        <v>2106</v>
      </c>
      <c r="B63" s="2303"/>
      <c r="C63" s="2303"/>
      <c r="D63" s="2303"/>
      <c r="E63" s="2303"/>
      <c r="F63" s="2303"/>
      <c r="G63" s="2303"/>
      <c r="H63" s="2303"/>
      <c r="I63" s="2303"/>
      <c r="J63" s="2303"/>
      <c r="K63" s="2303"/>
      <c r="L63" s="2303"/>
      <c r="M63" s="2303"/>
      <c r="N63" s="2303"/>
      <c r="O63" s="2303"/>
      <c r="P63" s="2303"/>
      <c r="Q63" s="2303"/>
      <c r="R63" s="2303"/>
    </row>
    <row r="65" spans="1:15" ht="38.25" customHeight="1">
      <c r="A65" s="1888" t="s">
        <v>508</v>
      </c>
      <c r="B65" s="1339" t="s">
        <v>2272</v>
      </c>
      <c r="C65" s="1339"/>
      <c r="D65" s="1339"/>
      <c r="E65" s="1339"/>
      <c r="F65" s="1342" t="s">
        <v>2273</v>
      </c>
      <c r="G65" s="1940"/>
      <c r="H65" s="1343"/>
      <c r="I65" s="1342" t="s">
        <v>2274</v>
      </c>
      <c r="J65" s="1940"/>
      <c r="K65" s="1343"/>
      <c r="L65" s="1339" t="s">
        <v>966</v>
      </c>
      <c r="M65" s="1339"/>
      <c r="N65" s="1339"/>
      <c r="O65" s="1339"/>
    </row>
    <row r="66" spans="1:15" ht="12" customHeight="1">
      <c r="A66" s="2304"/>
      <c r="B66" s="1387">
        <v>0</v>
      </c>
      <c r="C66" s="1387"/>
      <c r="D66" s="1387"/>
      <c r="E66" s="1387"/>
      <c r="F66" s="1597">
        <v>0</v>
      </c>
      <c r="G66" s="1598"/>
      <c r="H66" s="1599"/>
      <c r="I66" s="1597">
        <v>0</v>
      </c>
      <c r="J66" s="1598"/>
      <c r="K66" s="1599"/>
      <c r="L66" s="1387">
        <v>0</v>
      </c>
      <c r="M66" s="1387"/>
      <c r="N66" s="1387"/>
      <c r="O66" s="1387"/>
    </row>
    <row r="67" spans="1:15" ht="12" customHeight="1">
      <c r="A67" s="1889"/>
      <c r="B67" s="1387"/>
      <c r="C67" s="1387"/>
      <c r="D67" s="1387"/>
      <c r="E67" s="1387"/>
      <c r="F67" s="1603"/>
      <c r="G67" s="1604"/>
      <c r="H67" s="1605"/>
      <c r="I67" s="1603"/>
      <c r="J67" s="1604"/>
      <c r="K67" s="1605"/>
      <c r="L67" s="1387"/>
      <c r="M67" s="1387"/>
      <c r="N67" s="1387"/>
      <c r="O67" s="1387"/>
    </row>
  </sheetData>
  <mergeCells count="174">
    <mergeCell ref="F66:H67"/>
    <mergeCell ref="I66:K67"/>
    <mergeCell ref="L66:O67"/>
    <mergeCell ref="B58:R58"/>
    <mergeCell ref="B59:R59"/>
    <mergeCell ref="B60:R60"/>
    <mergeCell ref="A61:R61"/>
    <mergeCell ref="A65:A67"/>
    <mergeCell ref="B65:E65"/>
    <mergeCell ref="F65:H65"/>
    <mergeCell ref="I65:K65"/>
    <mergeCell ref="L65:O65"/>
    <mergeCell ref="B66:E67"/>
    <mergeCell ref="A62:R62"/>
    <mergeCell ref="A63:R63"/>
    <mergeCell ref="I54:J54"/>
    <mergeCell ref="K54:L54"/>
    <mergeCell ref="M54:N54"/>
    <mergeCell ref="O54:P54"/>
    <mergeCell ref="Q54:R54"/>
    <mergeCell ref="A55:R55"/>
    <mergeCell ref="B56:R56"/>
    <mergeCell ref="B57:R57"/>
    <mergeCell ref="I52:J52"/>
    <mergeCell ref="K52:L52"/>
    <mergeCell ref="M52:N52"/>
    <mergeCell ref="O52:P52"/>
    <mergeCell ref="Q52:R52"/>
    <mergeCell ref="I53:J53"/>
    <mergeCell ref="K53:L53"/>
    <mergeCell ref="M53:N53"/>
    <mergeCell ref="O53:P53"/>
    <mergeCell ref="Q53:R53"/>
    <mergeCell ref="I50:J50"/>
    <mergeCell ref="K50:L50"/>
    <mergeCell ref="M50:N50"/>
    <mergeCell ref="O50:P50"/>
    <mergeCell ref="Q50:R50"/>
    <mergeCell ref="I51:J51"/>
    <mergeCell ref="K51:L51"/>
    <mergeCell ref="M51:N51"/>
    <mergeCell ref="O51:P51"/>
    <mergeCell ref="Q51:R51"/>
    <mergeCell ref="I48:J48"/>
    <mergeCell ref="K48:L48"/>
    <mergeCell ref="M48:N48"/>
    <mergeCell ref="O48:P48"/>
    <mergeCell ref="Q48:R48"/>
    <mergeCell ref="I49:J49"/>
    <mergeCell ref="K49:L49"/>
    <mergeCell ref="M49:N49"/>
    <mergeCell ref="O49:P49"/>
    <mergeCell ref="Q49:R49"/>
    <mergeCell ref="I46:J46"/>
    <mergeCell ref="K46:L46"/>
    <mergeCell ref="M46:N46"/>
    <mergeCell ref="O46:P46"/>
    <mergeCell ref="Q46:R46"/>
    <mergeCell ref="I47:J47"/>
    <mergeCell ref="K47:L47"/>
    <mergeCell ref="M47:N47"/>
    <mergeCell ref="O47:P47"/>
    <mergeCell ref="Q47:R47"/>
    <mergeCell ref="I44:J44"/>
    <mergeCell ref="K44:L44"/>
    <mergeCell ref="M44:N44"/>
    <mergeCell ref="O44:P44"/>
    <mergeCell ref="Q44:R44"/>
    <mergeCell ref="I45:J45"/>
    <mergeCell ref="K45:L45"/>
    <mergeCell ref="M45:N45"/>
    <mergeCell ref="O45:P45"/>
    <mergeCell ref="Q45:R45"/>
    <mergeCell ref="A31:R31"/>
    <mergeCell ref="B32:G32"/>
    <mergeCell ref="I32:Q32"/>
    <mergeCell ref="B33:D33"/>
    <mergeCell ref="F33:R33"/>
    <mergeCell ref="A43:R43"/>
    <mergeCell ref="A28:R28"/>
    <mergeCell ref="B29:R29"/>
    <mergeCell ref="I30:J30"/>
    <mergeCell ref="K30:L30"/>
    <mergeCell ref="M30:N30"/>
    <mergeCell ref="O30:P30"/>
    <mergeCell ref="Q30:R30"/>
    <mergeCell ref="I26:J26"/>
    <mergeCell ref="K26:L26"/>
    <mergeCell ref="M26:N26"/>
    <mergeCell ref="O26:P26"/>
    <mergeCell ref="Q26:R26"/>
    <mergeCell ref="I27:J27"/>
    <mergeCell ref="K27:L27"/>
    <mergeCell ref="M27:N27"/>
    <mergeCell ref="O27:P27"/>
    <mergeCell ref="Q27:R27"/>
    <mergeCell ref="I24:J24"/>
    <mergeCell ref="K24:L24"/>
    <mergeCell ref="M24:N24"/>
    <mergeCell ref="O24:P24"/>
    <mergeCell ref="Q24:R24"/>
    <mergeCell ref="A25:R25"/>
    <mergeCell ref="A22:R22"/>
    <mergeCell ref="I23:J23"/>
    <mergeCell ref="K23:L23"/>
    <mergeCell ref="M23:N23"/>
    <mergeCell ref="O23:P23"/>
    <mergeCell ref="Q23:R23"/>
    <mergeCell ref="A16:R16"/>
    <mergeCell ref="B17:R17"/>
    <mergeCell ref="B18:R18"/>
    <mergeCell ref="B19:R19"/>
    <mergeCell ref="B20:R20"/>
    <mergeCell ref="A21:R21"/>
    <mergeCell ref="I14:J14"/>
    <mergeCell ref="K14:L14"/>
    <mergeCell ref="M14:N14"/>
    <mergeCell ref="O14:P14"/>
    <mergeCell ref="Q14:R14"/>
    <mergeCell ref="I15:J15"/>
    <mergeCell ref="K15:L15"/>
    <mergeCell ref="M15:N15"/>
    <mergeCell ref="O15:P15"/>
    <mergeCell ref="Q15:R15"/>
    <mergeCell ref="I12:J12"/>
    <mergeCell ref="K12:L12"/>
    <mergeCell ref="M12:N12"/>
    <mergeCell ref="O12:P12"/>
    <mergeCell ref="Q12:R12"/>
    <mergeCell ref="I13:J13"/>
    <mergeCell ref="K13:L13"/>
    <mergeCell ref="M13:N13"/>
    <mergeCell ref="O13:P13"/>
    <mergeCell ref="Q13:R13"/>
    <mergeCell ref="I10:J10"/>
    <mergeCell ref="K10:L10"/>
    <mergeCell ref="M10:N10"/>
    <mergeCell ref="O10:P10"/>
    <mergeCell ref="Q10:R10"/>
    <mergeCell ref="I11:J11"/>
    <mergeCell ref="K11:L11"/>
    <mergeCell ref="M11:N11"/>
    <mergeCell ref="O11:P11"/>
    <mergeCell ref="Q11:R11"/>
    <mergeCell ref="I8:J8"/>
    <mergeCell ref="K8:L8"/>
    <mergeCell ref="M8:N8"/>
    <mergeCell ref="O8:P8"/>
    <mergeCell ref="Q8:R8"/>
    <mergeCell ref="I9:J9"/>
    <mergeCell ref="K9:L9"/>
    <mergeCell ref="M9:N9"/>
    <mergeCell ref="O9:P9"/>
    <mergeCell ref="Q9:R9"/>
    <mergeCell ref="I6:J6"/>
    <mergeCell ref="K6:L6"/>
    <mergeCell ref="M6:N6"/>
    <mergeCell ref="O6:P6"/>
    <mergeCell ref="Q6:R6"/>
    <mergeCell ref="I7:J7"/>
    <mergeCell ref="K7:L7"/>
    <mergeCell ref="M7:N7"/>
    <mergeCell ref="O7:P7"/>
    <mergeCell ref="Q7:R7"/>
    <mergeCell ref="A1:D1"/>
    <mergeCell ref="A2:L2"/>
    <mergeCell ref="Q2:R2"/>
    <mergeCell ref="Q3:R3"/>
    <mergeCell ref="A4:R4"/>
    <mergeCell ref="I5:J5"/>
    <mergeCell ref="K5:L5"/>
    <mergeCell ref="M5:N5"/>
    <mergeCell ref="O5:P5"/>
    <mergeCell ref="Q5:R5"/>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65" orientation="landscape" horizontalDpi="300" verticalDpi="300" r:id="rId1"/>
  <headerFooter scaleWithDoc="0">
    <oddHeader xml:space="preserve">&amp;L&amp;G&amp;R&amp;5Центр поддержки клиентов Grand Line: +7 (495) 748-38-38
cайт: www.grandline.ru   </oddHeader>
    <oddFooter>&amp;R&amp;5Страница 26</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N36"/>
  <sheetViews>
    <sheetView zoomScale="70" zoomScaleNormal="70" zoomScaleSheetLayoutView="50" workbookViewId="0">
      <selection sqref="A1:D1"/>
    </sheetView>
  </sheetViews>
  <sheetFormatPr defaultRowHeight="12.75"/>
  <cols>
    <col min="1" max="1" width="27.7109375" style="46" customWidth="1"/>
    <col min="2" max="2" width="22.42578125" style="46" customWidth="1"/>
    <col min="3" max="3" width="14" style="46" customWidth="1"/>
    <col min="4" max="4" width="10.140625" style="46" customWidth="1"/>
    <col min="5" max="5" width="2.42578125" style="46" customWidth="1"/>
    <col min="6" max="6" width="27.140625" style="46" customWidth="1"/>
    <col min="7" max="7" width="47.7109375" style="46" customWidth="1"/>
    <col min="8" max="8" width="12.42578125" style="46" customWidth="1"/>
    <col min="9" max="9" width="9.85546875" style="46" customWidth="1"/>
    <col min="10" max="10" width="2" style="46" customWidth="1"/>
    <col min="11" max="11" width="22.28515625" style="46" customWidth="1"/>
    <col min="12" max="12" width="19.42578125" style="46" customWidth="1"/>
    <col min="13" max="13" width="13" style="46" customWidth="1"/>
    <col min="14" max="14" width="8.5703125" style="46" customWidth="1"/>
    <col min="15" max="16384" width="9.140625" style="46"/>
  </cols>
  <sheetData>
    <row r="1" spans="1:14">
      <c r="A1" s="1666" t="s">
        <v>312</v>
      </c>
      <c r="B1" s="1666"/>
      <c r="C1" s="1666"/>
      <c r="D1" s="1666"/>
    </row>
    <row r="2" spans="1:14" s="54" customFormat="1" ht="17.25" customHeight="1" thickBot="1">
      <c r="A2" s="2162" t="s">
        <v>4398</v>
      </c>
      <c r="B2" s="2162"/>
      <c r="C2" s="2162"/>
      <c r="D2" s="2162"/>
      <c r="E2" s="2162"/>
      <c r="F2" s="2162"/>
      <c r="G2" s="2162"/>
      <c r="H2" s="2162"/>
      <c r="I2" s="2162"/>
      <c r="J2" s="2162"/>
      <c r="K2" s="756"/>
      <c r="L2" s="752" t="s">
        <v>313</v>
      </c>
      <c r="M2" s="2310">
        <v>42430</v>
      </c>
      <c r="N2" s="2310"/>
    </row>
    <row r="3" spans="1:14" s="54" customFormat="1">
      <c r="C3" s="46"/>
      <c r="D3" s="46"/>
      <c r="H3" s="46"/>
      <c r="I3" s="46"/>
      <c r="L3" s="241" t="s">
        <v>804</v>
      </c>
      <c r="M3" s="2291">
        <v>42430</v>
      </c>
      <c r="N3" s="2291"/>
    </row>
    <row r="4" spans="1:14" s="54" customFormat="1" ht="28.5" customHeight="1">
      <c r="A4" s="131" t="s">
        <v>1071</v>
      </c>
      <c r="B4" s="131" t="s">
        <v>1994</v>
      </c>
      <c r="C4" s="126" t="s">
        <v>2275</v>
      </c>
      <c r="D4" s="126" t="s">
        <v>2276</v>
      </c>
      <c r="E4" s="46"/>
      <c r="F4" s="131" t="s">
        <v>1071</v>
      </c>
      <c r="G4" s="131" t="s">
        <v>1994</v>
      </c>
      <c r="H4" s="126" t="s">
        <v>2277</v>
      </c>
      <c r="I4" s="126" t="s">
        <v>2276</v>
      </c>
      <c r="J4" s="46"/>
      <c r="K4" s="131" t="s">
        <v>1071</v>
      </c>
      <c r="L4" s="131" t="s">
        <v>1994</v>
      </c>
      <c r="M4" s="126" t="s">
        <v>2277</v>
      </c>
      <c r="N4" s="126" t="s">
        <v>2276</v>
      </c>
    </row>
    <row r="5" spans="1:14" s="54" customFormat="1">
      <c r="A5" s="1629" t="s">
        <v>2278</v>
      </c>
      <c r="B5" s="1629"/>
      <c r="C5" s="1629"/>
      <c r="D5" s="1629"/>
      <c r="E5" s="46"/>
      <c r="F5" s="1629" t="s">
        <v>2279</v>
      </c>
      <c r="G5" s="1629"/>
      <c r="H5" s="1629"/>
      <c r="I5" s="1629"/>
      <c r="J5" s="46"/>
      <c r="K5" s="1629" t="s">
        <v>2280</v>
      </c>
      <c r="L5" s="1629"/>
      <c r="M5" s="1629"/>
      <c r="N5" s="1629"/>
    </row>
    <row r="6" spans="1:14" s="54" customFormat="1" ht="34.5" customHeight="1">
      <c r="A6" s="2056"/>
      <c r="B6" s="2148" t="s">
        <v>2281</v>
      </c>
      <c r="C6" s="2148" t="s">
        <v>2282</v>
      </c>
      <c r="D6" s="1539">
        <f>ROUND(7007*Belarus*(1-B36),2)</f>
        <v>7007</v>
      </c>
      <c r="E6" s="46"/>
      <c r="F6" s="2056"/>
      <c r="G6" s="183" t="s">
        <v>2283</v>
      </c>
      <c r="H6" s="2148" t="s">
        <v>2284</v>
      </c>
      <c r="I6" s="168">
        <f>ROUND(5150*Belarus*(1-B36),2)</f>
        <v>5150</v>
      </c>
      <c r="J6" s="46"/>
      <c r="K6" s="2056"/>
      <c r="L6" s="1716" t="s">
        <v>2285</v>
      </c>
      <c r="M6" s="1581" t="s">
        <v>2286</v>
      </c>
      <c r="N6" s="1539">
        <f>ROUND(775*Belarus*(1-B36),2)</f>
        <v>775</v>
      </c>
    </row>
    <row r="7" spans="1:14" s="54" customFormat="1" ht="34.5" customHeight="1">
      <c r="A7" s="2056"/>
      <c r="B7" s="2148"/>
      <c r="C7" s="2148"/>
      <c r="D7" s="1539"/>
      <c r="E7" s="46"/>
      <c r="F7" s="2056"/>
      <c r="G7" s="183" t="s">
        <v>2287</v>
      </c>
      <c r="H7" s="2148"/>
      <c r="I7" s="168">
        <f>ROUND(6150*Belarus*(1-B36),2)</f>
        <v>6150</v>
      </c>
      <c r="J7" s="46"/>
      <c r="K7" s="2056"/>
      <c r="L7" s="1716"/>
      <c r="M7" s="1581"/>
      <c r="N7" s="1539"/>
    </row>
    <row r="8" spans="1:14" s="54" customFormat="1" ht="14.25" customHeight="1">
      <c r="A8" s="1629" t="s">
        <v>2288</v>
      </c>
      <c r="B8" s="1629"/>
      <c r="C8" s="1629"/>
      <c r="D8" s="1629"/>
      <c r="E8" s="46"/>
      <c r="F8" s="2056"/>
      <c r="G8" s="2148" t="s">
        <v>2289</v>
      </c>
      <c r="H8" s="2148"/>
      <c r="I8" s="1580">
        <f>ROUND(7990*Belarus*(1-B36),2)</f>
        <v>7990</v>
      </c>
      <c r="J8" s="46"/>
      <c r="K8" s="2059"/>
      <c r="L8" s="1900" t="s">
        <v>2290</v>
      </c>
      <c r="M8" s="2146" t="s">
        <v>2291</v>
      </c>
      <c r="N8" s="1450">
        <f>ROUND(260*Belarus*(1-B36),2)</f>
        <v>260</v>
      </c>
    </row>
    <row r="9" spans="1:14" s="54" customFormat="1" ht="30" customHeight="1">
      <c r="A9" s="2056"/>
      <c r="B9" s="2148" t="s">
        <v>2292</v>
      </c>
      <c r="C9" s="2148" t="s">
        <v>2293</v>
      </c>
      <c r="D9" s="1450">
        <f>ROUND(3535*Belarus*(1-B36),2)</f>
        <v>3535</v>
      </c>
      <c r="E9" s="46"/>
      <c r="F9" s="2056"/>
      <c r="G9" s="2148"/>
      <c r="H9" s="2148"/>
      <c r="I9" s="1580"/>
      <c r="J9" s="46"/>
      <c r="K9" s="2060"/>
      <c r="L9" s="1997"/>
      <c r="M9" s="2309"/>
      <c r="N9" s="1864"/>
    </row>
    <row r="10" spans="1:14" s="54" customFormat="1" ht="30" customHeight="1">
      <c r="A10" s="2056"/>
      <c r="B10" s="2148"/>
      <c r="C10" s="2148"/>
      <c r="D10" s="1451"/>
      <c r="E10" s="46"/>
      <c r="F10" s="2056"/>
      <c r="G10" s="183" t="s">
        <v>2294</v>
      </c>
      <c r="H10" s="2148"/>
      <c r="I10" s="165">
        <f>ROUND(8990*Belarus*(1-B36),2)</f>
        <v>8990</v>
      </c>
      <c r="J10" s="46"/>
      <c r="K10" s="2061"/>
      <c r="L10" s="1901"/>
      <c r="M10" s="2147"/>
      <c r="N10" s="1451"/>
    </row>
    <row r="11" spans="1:14" s="54" customFormat="1" ht="12.75" customHeight="1">
      <c r="A11" s="2056"/>
      <c r="B11" s="2148" t="s">
        <v>2295</v>
      </c>
      <c r="C11" s="2148" t="s">
        <v>2296</v>
      </c>
      <c r="D11" s="1450">
        <f>ROUND(2775*Belarus*(1-B36),2)</f>
        <v>2775</v>
      </c>
      <c r="E11" s="46"/>
      <c r="F11" s="1629" t="s">
        <v>2297</v>
      </c>
      <c r="G11" s="1629"/>
      <c r="H11" s="1629"/>
      <c r="I11" s="1629"/>
      <c r="J11" s="46"/>
      <c r="K11" s="2056"/>
      <c r="L11" s="1716" t="s">
        <v>2298</v>
      </c>
      <c r="M11" s="1581" t="s">
        <v>2299</v>
      </c>
      <c r="N11" s="1539">
        <f>ROUND(175*Belarus*(1-B36),2)</f>
        <v>175</v>
      </c>
    </row>
    <row r="12" spans="1:14" s="54" customFormat="1" ht="25.5" customHeight="1">
      <c r="A12" s="2056"/>
      <c r="B12" s="2148"/>
      <c r="C12" s="2148"/>
      <c r="D12" s="1864"/>
      <c r="E12" s="46"/>
      <c r="F12" s="2056"/>
      <c r="G12" s="2148" t="s">
        <v>2300</v>
      </c>
      <c r="H12" s="2148" t="s">
        <v>2284</v>
      </c>
      <c r="I12" s="1874">
        <f>ROUND(6500*Belarus*(1-B36),2)</f>
        <v>6500</v>
      </c>
      <c r="J12" s="46"/>
      <c r="K12" s="2056"/>
      <c r="L12" s="1716"/>
      <c r="M12" s="1581"/>
      <c r="N12" s="1539"/>
    </row>
    <row r="13" spans="1:14" s="54" customFormat="1" ht="25.5" customHeight="1">
      <c r="A13" s="2056"/>
      <c r="B13" s="2148"/>
      <c r="C13" s="2148"/>
      <c r="D13" s="1451"/>
      <c r="E13" s="46"/>
      <c r="F13" s="2056"/>
      <c r="G13" s="2148"/>
      <c r="H13" s="2148"/>
      <c r="I13" s="1874"/>
      <c r="J13" s="46"/>
      <c r="K13" s="2056"/>
      <c r="L13" s="1716"/>
      <c r="M13" s="1581"/>
      <c r="N13" s="1539"/>
    </row>
    <row r="14" spans="1:14" s="54" customFormat="1" ht="12.75" customHeight="1">
      <c r="A14" s="2056"/>
      <c r="B14" s="2148" t="s">
        <v>2301</v>
      </c>
      <c r="C14" s="2148" t="s">
        <v>2293</v>
      </c>
      <c r="D14" s="1450">
        <f>ROUND(1790*Belarus*(1-B36),2)</f>
        <v>1790</v>
      </c>
      <c r="E14" s="46"/>
      <c r="F14" s="1629" t="s">
        <v>2302</v>
      </c>
      <c r="G14" s="1629"/>
      <c r="H14" s="1629"/>
      <c r="I14" s="1629"/>
      <c r="J14" s="46"/>
      <c r="K14" s="2056"/>
      <c r="L14" s="1716" t="s">
        <v>2303</v>
      </c>
      <c r="M14" s="1581" t="s">
        <v>2304</v>
      </c>
      <c r="N14" s="1539">
        <f>ROUND(220*Belarus*(1-B36),2)</f>
        <v>220</v>
      </c>
    </row>
    <row r="15" spans="1:14" s="54" customFormat="1" ht="32.25" customHeight="1">
      <c r="A15" s="2056"/>
      <c r="B15" s="2148"/>
      <c r="C15" s="2148"/>
      <c r="D15" s="1451"/>
      <c r="E15" s="46"/>
      <c r="F15" s="2056"/>
      <c r="G15" s="2148" t="s">
        <v>2305</v>
      </c>
      <c r="H15" s="2148" t="s">
        <v>2284</v>
      </c>
      <c r="I15" s="1874">
        <f>ROUND(4860*Belarus*(1-B36),2)</f>
        <v>4860</v>
      </c>
      <c r="J15" s="46"/>
      <c r="K15" s="2056"/>
      <c r="L15" s="1716"/>
      <c r="M15" s="1581"/>
      <c r="N15" s="1539"/>
    </row>
    <row r="16" spans="1:14" s="54" customFormat="1" ht="14.25" customHeight="1">
      <c r="A16" s="1629" t="s">
        <v>2306</v>
      </c>
      <c r="B16" s="1629"/>
      <c r="C16" s="1629"/>
      <c r="D16" s="1629"/>
      <c r="E16" s="46"/>
      <c r="F16" s="2056"/>
      <c r="G16" s="2148"/>
      <c r="H16" s="2148"/>
      <c r="I16" s="1874"/>
      <c r="J16" s="46"/>
      <c r="K16" s="2056"/>
      <c r="L16" s="2148" t="s">
        <v>2307</v>
      </c>
      <c r="M16" s="1581" t="s">
        <v>2304</v>
      </c>
      <c r="N16" s="1580">
        <f>ROUND(265*Belarus*(1-B36),2)</f>
        <v>265</v>
      </c>
    </row>
    <row r="17" spans="1:14" s="54" customFormat="1" ht="32.25" customHeight="1">
      <c r="A17" s="2056"/>
      <c r="B17" s="2148" t="s">
        <v>2308</v>
      </c>
      <c r="C17" s="2148" t="s">
        <v>2309</v>
      </c>
      <c r="D17" s="1539">
        <f>ROUND(1980*Belarus*(1-B36),2)</f>
        <v>1980</v>
      </c>
      <c r="E17" s="46"/>
      <c r="F17" s="2056"/>
      <c r="G17" s="2148"/>
      <c r="H17" s="2148"/>
      <c r="I17" s="1874"/>
      <c r="J17" s="46"/>
      <c r="K17" s="2056"/>
      <c r="L17" s="2148"/>
      <c r="M17" s="1581"/>
      <c r="N17" s="1580"/>
    </row>
    <row r="18" spans="1:14" s="54" customFormat="1" ht="36" customHeight="1">
      <c r="A18" s="2056"/>
      <c r="B18" s="2148"/>
      <c r="C18" s="2148"/>
      <c r="D18" s="1539"/>
      <c r="E18" s="46"/>
      <c r="F18" s="2056"/>
      <c r="G18" s="1900" t="s">
        <v>2310</v>
      </c>
      <c r="H18" s="2148"/>
      <c r="I18" s="1874">
        <f>ROUND(5810*Belarus*(1-B36),2)</f>
        <v>5810</v>
      </c>
      <c r="J18" s="46"/>
      <c r="K18" s="432"/>
      <c r="L18" s="300" t="s">
        <v>2311</v>
      </c>
      <c r="M18" s="381" t="s">
        <v>2312</v>
      </c>
      <c r="N18" s="58">
        <f>ROUND(275*Belarus*(1-B36),2)</f>
        <v>275</v>
      </c>
    </row>
    <row r="19" spans="1:14" s="54" customFormat="1" ht="33" customHeight="1">
      <c r="A19" s="2056"/>
      <c r="B19" s="2148" t="s">
        <v>2313</v>
      </c>
      <c r="C19" s="2148" t="s">
        <v>2314</v>
      </c>
      <c r="D19" s="1539">
        <f>ROUND(1320*Belarus*(1-B36),2)</f>
        <v>1320</v>
      </c>
      <c r="E19" s="46"/>
      <c r="F19" s="2056"/>
      <c r="G19" s="1997"/>
      <c r="H19" s="2148"/>
      <c r="I19" s="1874"/>
      <c r="J19" s="46"/>
      <c r="K19" s="2056"/>
      <c r="L19" s="2148" t="s">
        <v>2315</v>
      </c>
      <c r="M19" s="1581" t="s">
        <v>2316</v>
      </c>
      <c r="N19" s="1580">
        <f>ROUND(365*Belarus*(1-B36),2)</f>
        <v>365</v>
      </c>
    </row>
    <row r="20" spans="1:14" s="54" customFormat="1" ht="33" customHeight="1">
      <c r="A20" s="2056"/>
      <c r="B20" s="2148"/>
      <c r="C20" s="2148"/>
      <c r="D20" s="1539"/>
      <c r="E20" s="46"/>
      <c r="F20" s="2056"/>
      <c r="G20" s="1901"/>
      <c r="H20" s="2148"/>
      <c r="I20" s="1874"/>
      <c r="J20" s="46"/>
      <c r="K20" s="2056"/>
      <c r="L20" s="2148"/>
      <c r="M20" s="1581"/>
      <c r="N20" s="1580"/>
    </row>
    <row r="21" spans="1:14" s="54" customFormat="1" ht="12.75" customHeight="1">
      <c r="A21" s="1629" t="s">
        <v>2317</v>
      </c>
      <c r="B21" s="1629"/>
      <c r="C21" s="1629"/>
      <c r="D21" s="1629"/>
      <c r="E21" s="46"/>
      <c r="F21" s="1629" t="s">
        <v>2318</v>
      </c>
      <c r="G21" s="1629"/>
      <c r="H21" s="1629"/>
      <c r="I21" s="1629"/>
      <c r="J21" s="46"/>
      <c r="K21" s="2056"/>
      <c r="L21" s="2148" t="s">
        <v>2319</v>
      </c>
      <c r="M21" s="1581" t="s">
        <v>2320</v>
      </c>
      <c r="N21" s="1580">
        <f>ROUND(430*Belarus*(1-B36),2)</f>
        <v>430</v>
      </c>
    </row>
    <row r="22" spans="1:14" s="54" customFormat="1" ht="48.75" customHeight="1">
      <c r="A22" s="237"/>
      <c r="B22" s="183" t="s">
        <v>2321</v>
      </c>
      <c r="C22" s="183" t="s">
        <v>2322</v>
      </c>
      <c r="D22" s="165">
        <f>ROUND(600*Belarus*(1-B36),2)</f>
        <v>600</v>
      </c>
      <c r="E22" s="46"/>
      <c r="F22" s="349"/>
      <c r="G22" s="183" t="s">
        <v>2323</v>
      </c>
      <c r="H22" s="183" t="s">
        <v>2324</v>
      </c>
      <c r="I22" s="395">
        <f>ROUND(200*Belarus*(1-B36),2)</f>
        <v>200</v>
      </c>
      <c r="J22" s="46"/>
      <c r="K22" s="2056"/>
      <c r="L22" s="2148"/>
      <c r="M22" s="1581"/>
      <c r="N22" s="1580"/>
    </row>
    <row r="23" spans="1:14" s="54" customFormat="1" ht="45" customHeight="1">
      <c r="A23" s="432"/>
      <c r="B23" s="382" t="s">
        <v>2325</v>
      </c>
      <c r="C23" s="382" t="s">
        <v>2326</v>
      </c>
      <c r="D23" s="58">
        <f>ROUND(455*Belarus*(1-B36),2)</f>
        <v>455</v>
      </c>
      <c r="E23" s="46"/>
      <c r="F23" s="349"/>
      <c r="G23" s="183" t="s">
        <v>2327</v>
      </c>
      <c r="H23" s="183" t="s">
        <v>2328</v>
      </c>
      <c r="I23" s="395">
        <f>ROUND(700*Belarus*(1-B36),2)</f>
        <v>700</v>
      </c>
      <c r="J23" s="46"/>
      <c r="K23" s="2056"/>
      <c r="L23" s="2148" t="s">
        <v>2329</v>
      </c>
      <c r="M23" s="1581" t="s">
        <v>2330</v>
      </c>
      <c r="N23" s="1580">
        <f>ROUND(255*Belarus*(1-B36),2)</f>
        <v>255</v>
      </c>
    </row>
    <row r="24" spans="1:14" s="54" customFormat="1" ht="12.75" customHeight="1">
      <c r="A24" s="2056"/>
      <c r="B24" s="2148" t="s">
        <v>2331</v>
      </c>
      <c r="C24" s="2148" t="s">
        <v>2326</v>
      </c>
      <c r="D24" s="1539">
        <f>ROUND(415*Belarus*(1-B36),2)</f>
        <v>415</v>
      </c>
      <c r="E24" s="46"/>
      <c r="F24" s="1629" t="s">
        <v>2332</v>
      </c>
      <c r="G24" s="1629"/>
      <c r="H24" s="1629"/>
      <c r="I24" s="1629"/>
      <c r="J24" s="46"/>
      <c r="K24" s="2056"/>
      <c r="L24" s="2148"/>
      <c r="M24" s="1581"/>
      <c r="N24" s="1580"/>
    </row>
    <row r="25" spans="1:14" s="54" customFormat="1" ht="51" customHeight="1">
      <c r="A25" s="2056"/>
      <c r="B25" s="2148"/>
      <c r="C25" s="2148"/>
      <c r="D25" s="1539"/>
      <c r="E25" s="46"/>
      <c r="F25" s="433"/>
      <c r="G25" s="314" t="s">
        <v>2333</v>
      </c>
      <c r="H25" s="2151" t="s">
        <v>369</v>
      </c>
      <c r="I25" s="395">
        <f>ROUND(4320*Belarus*(1-B36),2)</f>
        <v>4320</v>
      </c>
      <c r="J25" s="46"/>
      <c r="K25" s="349"/>
      <c r="L25" s="44" t="s">
        <v>2334</v>
      </c>
      <c r="M25" s="103" t="s">
        <v>2335</v>
      </c>
      <c r="N25" s="165">
        <f>ROUND(155*Belarus*(1-B36),2)</f>
        <v>155</v>
      </c>
    </row>
    <row r="26" spans="1:14" s="54" customFormat="1" ht="51" customHeight="1">
      <c r="A26" s="237"/>
      <c r="B26" s="183" t="s">
        <v>2336</v>
      </c>
      <c r="C26" s="183" t="s">
        <v>2337</v>
      </c>
      <c r="D26" s="165">
        <f>ROUND(385*Belarus*(1-B36),2)</f>
        <v>385</v>
      </c>
      <c r="E26" s="46"/>
      <c r="F26" s="433"/>
      <c r="G26" s="314" t="s">
        <v>2338</v>
      </c>
      <c r="H26" s="2308"/>
      <c r="I26" s="395">
        <f>ROUND(4980*Belarus*(1-B36),2)</f>
        <v>4980</v>
      </c>
      <c r="J26" s="46"/>
      <c r="K26" s="349"/>
      <c r="L26" s="44" t="s">
        <v>2339</v>
      </c>
      <c r="M26" s="103" t="s">
        <v>2340</v>
      </c>
      <c r="N26" s="165">
        <f>ROUND(180*Belarus*(1-B36),2)</f>
        <v>180</v>
      </c>
    </row>
    <row r="27" spans="1:14" s="54" customFormat="1" ht="48.75" customHeight="1">
      <c r="A27" s="237"/>
      <c r="B27" s="183" t="s">
        <v>2341</v>
      </c>
      <c r="C27" s="183" t="s">
        <v>2337</v>
      </c>
      <c r="D27" s="165">
        <f>ROUND(345*Belarus*(1-B36),2)</f>
        <v>345</v>
      </c>
      <c r="E27" s="46"/>
      <c r="F27" s="433"/>
      <c r="G27" s="314" t="s">
        <v>2342</v>
      </c>
      <c r="H27" s="2308"/>
      <c r="I27" s="395">
        <f>ROUND(3820*Belarus*(1-B36),2)</f>
        <v>3820</v>
      </c>
      <c r="J27" s="46"/>
      <c r="K27" s="349"/>
      <c r="L27" s="44" t="s">
        <v>2343</v>
      </c>
      <c r="M27" s="103" t="s">
        <v>2344</v>
      </c>
      <c r="N27" s="165">
        <f>ROUND(295*Belarus*(1-B36),2)</f>
        <v>295</v>
      </c>
    </row>
    <row r="28" spans="1:14" s="54" customFormat="1" ht="78.75" customHeight="1">
      <c r="A28" s="1409" t="s">
        <v>2345</v>
      </c>
      <c r="B28" s="1410"/>
      <c r="C28" s="1410"/>
      <c r="D28" s="1411"/>
      <c r="E28" s="46"/>
      <c r="F28" s="433"/>
      <c r="G28" s="314" t="s">
        <v>2346</v>
      </c>
      <c r="H28" s="2152"/>
      <c r="I28" s="395">
        <f>ROUND(3980*Belarus*(1-B36),2)</f>
        <v>3980</v>
      </c>
      <c r="J28" s="46"/>
      <c r="K28" s="349"/>
      <c r="L28" s="44" t="s">
        <v>2347</v>
      </c>
      <c r="M28" s="103" t="s">
        <v>2348</v>
      </c>
      <c r="N28" s="165">
        <f>ROUND(1100*Belarus*(1-B36),2)</f>
        <v>1100</v>
      </c>
    </row>
    <row r="29" spans="1:14" s="54" customFormat="1">
      <c r="E29" s="46"/>
      <c r="J29" s="46"/>
      <c r="K29" s="46"/>
      <c r="L29" s="46"/>
      <c r="M29" s="46"/>
      <c r="N29" s="46"/>
    </row>
    <row r="30" spans="1:14">
      <c r="A30" s="2303" t="s">
        <v>2349</v>
      </c>
      <c r="B30" s="2303"/>
      <c r="C30" s="2303"/>
      <c r="D30" s="2303"/>
      <c r="F30" s="2303" t="s">
        <v>2350</v>
      </c>
      <c r="G30" s="2303"/>
      <c r="H30" s="2303"/>
      <c r="I30" s="2303"/>
      <c r="J30" s="2303"/>
      <c r="K30" s="2303"/>
      <c r="L30" s="2303"/>
      <c r="M30" s="2303"/>
      <c r="N30" s="2303"/>
    </row>
    <row r="31" spans="1:14">
      <c r="A31" s="2303" t="s">
        <v>2351</v>
      </c>
      <c r="B31" s="2303"/>
      <c r="C31" s="2303"/>
      <c r="D31" s="2303"/>
      <c r="F31" s="2303" t="s">
        <v>2352</v>
      </c>
      <c r="G31" s="2303"/>
      <c r="H31" s="2303"/>
      <c r="I31" s="2303"/>
      <c r="J31" s="2303"/>
      <c r="K31" s="2303"/>
      <c r="L31" s="2303"/>
      <c r="M31" s="2303"/>
      <c r="N31" s="2303"/>
    </row>
    <row r="35" spans="1:5">
      <c r="A35" s="2248" t="s">
        <v>508</v>
      </c>
      <c r="B35" s="2249" t="s">
        <v>2353</v>
      </c>
      <c r="C35" s="2249"/>
      <c r="D35" s="2249"/>
      <c r="E35" s="2249"/>
    </row>
    <row r="36" spans="1:5">
      <c r="A36" s="2248"/>
      <c r="B36" s="2251">
        <v>0</v>
      </c>
      <c r="C36" s="2251"/>
      <c r="D36" s="2251"/>
      <c r="E36" s="2251"/>
    </row>
  </sheetData>
  <sheetProtection selectLockedCells="1" selectUnlockedCells="1"/>
  <mergeCells count="97">
    <mergeCell ref="A1:D1"/>
    <mergeCell ref="M3:N3"/>
    <mergeCell ref="A5:D5"/>
    <mergeCell ref="F5:I5"/>
    <mergeCell ref="K5:N5"/>
    <mergeCell ref="M2:N2"/>
    <mergeCell ref="A2:J2"/>
    <mergeCell ref="A6:A7"/>
    <mergeCell ref="B6:B7"/>
    <mergeCell ref="C6:C7"/>
    <mergeCell ref="D6:D7"/>
    <mergeCell ref="F6:F10"/>
    <mergeCell ref="H6:H10"/>
    <mergeCell ref="K6:K7"/>
    <mergeCell ref="L6:L7"/>
    <mergeCell ref="M6:M7"/>
    <mergeCell ref="N6:N7"/>
    <mergeCell ref="A8:D8"/>
    <mergeCell ref="G8:G9"/>
    <mergeCell ref="I8:I9"/>
    <mergeCell ref="K8:K10"/>
    <mergeCell ref="L8:L10"/>
    <mergeCell ref="M8:M10"/>
    <mergeCell ref="N8:N10"/>
    <mergeCell ref="A9:A10"/>
    <mergeCell ref="B9:B10"/>
    <mergeCell ref="C9:C10"/>
    <mergeCell ref="D9:D10"/>
    <mergeCell ref="A11:A13"/>
    <mergeCell ref="B11:B13"/>
    <mergeCell ref="C11:C13"/>
    <mergeCell ref="D11:D13"/>
    <mergeCell ref="F11:I11"/>
    <mergeCell ref="K11:K13"/>
    <mergeCell ref="L11:L13"/>
    <mergeCell ref="M11:M13"/>
    <mergeCell ref="N11:N13"/>
    <mergeCell ref="F12:F13"/>
    <mergeCell ref="G12:G13"/>
    <mergeCell ref="H12:H13"/>
    <mergeCell ref="I12:I13"/>
    <mergeCell ref="A14:A15"/>
    <mergeCell ref="B14:B15"/>
    <mergeCell ref="C14:C15"/>
    <mergeCell ref="D14:D15"/>
    <mergeCell ref="F14:I14"/>
    <mergeCell ref="K14:K15"/>
    <mergeCell ref="L14:L15"/>
    <mergeCell ref="M14:M15"/>
    <mergeCell ref="N14:N15"/>
    <mergeCell ref="F15:F20"/>
    <mergeCell ref="G15:G17"/>
    <mergeCell ref="H15:H20"/>
    <mergeCell ref="I15:I17"/>
    <mergeCell ref="I18:I20"/>
    <mergeCell ref="M19:M20"/>
    <mergeCell ref="N19:N20"/>
    <mergeCell ref="A16:D16"/>
    <mergeCell ref="K16:K17"/>
    <mergeCell ref="L16:L17"/>
    <mergeCell ref="M16:M17"/>
    <mergeCell ref="N16:N17"/>
    <mergeCell ref="A17:A18"/>
    <mergeCell ref="B17:B18"/>
    <mergeCell ref="C17:C18"/>
    <mergeCell ref="D17:D18"/>
    <mergeCell ref="G18:G20"/>
    <mergeCell ref="A19:A20"/>
    <mergeCell ref="B19:B20"/>
    <mergeCell ref="C19:C20"/>
    <mergeCell ref="D19:D20"/>
    <mergeCell ref="K19:K20"/>
    <mergeCell ref="L19:L20"/>
    <mergeCell ref="A21:D21"/>
    <mergeCell ref="F21:I21"/>
    <mergeCell ref="K21:K22"/>
    <mergeCell ref="L21:L22"/>
    <mergeCell ref="M21:M22"/>
    <mergeCell ref="N21:N22"/>
    <mergeCell ref="K23:K24"/>
    <mergeCell ref="L23:L24"/>
    <mergeCell ref="M23:M24"/>
    <mergeCell ref="N23:N24"/>
    <mergeCell ref="A24:A25"/>
    <mergeCell ref="B24:B25"/>
    <mergeCell ref="C24:C25"/>
    <mergeCell ref="D24:D25"/>
    <mergeCell ref="F24:I24"/>
    <mergeCell ref="H25:H28"/>
    <mergeCell ref="A28:D28"/>
    <mergeCell ref="A30:D30"/>
    <mergeCell ref="F30:N30"/>
    <mergeCell ref="A31:D31"/>
    <mergeCell ref="F31:N31"/>
    <mergeCell ref="A35:A36"/>
    <mergeCell ref="B35:E35"/>
    <mergeCell ref="B36:E36"/>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59"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27</oddFooter>
  </headerFooter>
  <rowBreaks count="1" manualBreakCount="1">
    <brk id="31" max="13" man="1"/>
  </rowBreaks>
  <drawing r:id="rId2"/>
  <legacyDrawingHF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5"/>
    <pageSetUpPr fitToPage="1"/>
  </sheetPr>
  <dimension ref="A1:R50"/>
  <sheetViews>
    <sheetView zoomScale="70" zoomScaleNormal="70" workbookViewId="0">
      <selection activeCell="A2" sqref="A2:L2"/>
    </sheetView>
  </sheetViews>
  <sheetFormatPr defaultColWidth="9.42578125" defaultRowHeight="12.75"/>
  <cols>
    <col min="1" max="1" width="23.85546875" style="46" customWidth="1"/>
    <col min="2" max="3" width="11" style="46" customWidth="1"/>
    <col min="4" max="4" width="24.42578125" style="46" customWidth="1"/>
    <col min="5" max="5" width="9" style="46" customWidth="1"/>
    <col min="6" max="6" width="10" style="46" customWidth="1"/>
    <col min="7" max="7" width="8.5703125" style="46" customWidth="1"/>
    <col min="8" max="8" width="8.28515625" style="46" customWidth="1"/>
    <col min="9" max="9" width="8.5703125" style="46" customWidth="1"/>
    <col min="10" max="10" width="9" style="46" customWidth="1"/>
    <col min="11" max="11" width="10.42578125" style="46" customWidth="1"/>
    <col min="12" max="12" width="11.28515625" style="46" customWidth="1"/>
    <col min="13" max="13" width="12" style="46" customWidth="1"/>
    <col min="14" max="14" width="11.5703125" style="46" customWidth="1"/>
    <col min="15" max="18" width="8.85546875" style="46" customWidth="1"/>
    <col min="19" max="16384" width="9.42578125" style="46"/>
  </cols>
  <sheetData>
    <row r="1" spans="1:18">
      <c r="A1" s="1666" t="s">
        <v>312</v>
      </c>
      <c r="B1" s="1666"/>
      <c r="C1" s="1666"/>
      <c r="D1" s="1666"/>
      <c r="G1" s="151"/>
      <c r="H1" s="151"/>
      <c r="I1" s="390"/>
      <c r="J1" s="390"/>
      <c r="K1" s="390"/>
      <c r="L1" s="390"/>
    </row>
    <row r="2" spans="1:18" s="54" customFormat="1" ht="18.75" thickBot="1">
      <c r="A2" s="1851" t="s">
        <v>4397</v>
      </c>
      <c r="B2" s="1851"/>
      <c r="C2" s="1851"/>
      <c r="D2" s="1851"/>
      <c r="E2" s="1851"/>
      <c r="F2" s="1851"/>
      <c r="G2" s="1851"/>
      <c r="H2" s="1851"/>
      <c r="I2" s="1851"/>
      <c r="J2" s="1851"/>
      <c r="K2" s="1851"/>
      <c r="L2" s="1851"/>
      <c r="M2" s="741"/>
      <c r="N2" s="741"/>
      <c r="O2" s="741"/>
      <c r="P2" s="757" t="s">
        <v>313</v>
      </c>
      <c r="Q2" s="2315">
        <v>43286</v>
      </c>
      <c r="R2" s="2315"/>
    </row>
    <row r="3" spans="1:18">
      <c r="A3" s="188"/>
      <c r="H3" s="188"/>
      <c r="I3" s="188"/>
      <c r="J3" s="188"/>
      <c r="K3" s="188"/>
      <c r="L3" s="188"/>
      <c r="N3" s="435"/>
      <c r="O3" s="435"/>
      <c r="P3" s="192" t="s">
        <v>1385</v>
      </c>
      <c r="Q3" s="2316">
        <v>43286</v>
      </c>
      <c r="R3" s="2316"/>
    </row>
    <row r="4" spans="1:18" ht="12.75" customHeight="1">
      <c r="A4" s="2106" t="s">
        <v>307</v>
      </c>
      <c r="B4" s="1976" t="s">
        <v>2354</v>
      </c>
      <c r="C4" s="1976"/>
      <c r="D4" s="1976" t="s">
        <v>559</v>
      </c>
      <c r="E4" s="1976"/>
      <c r="F4" s="1976"/>
      <c r="G4" s="1976"/>
      <c r="H4" s="1976"/>
      <c r="I4" s="1976"/>
      <c r="J4" s="1976"/>
      <c r="K4" s="1976"/>
      <c r="L4" s="1976"/>
      <c r="M4" s="1976"/>
      <c r="N4" s="1976"/>
      <c r="O4" s="1976"/>
      <c r="P4" s="1976"/>
      <c r="Q4" s="1976"/>
      <c r="R4" s="1976"/>
    </row>
    <row r="5" spans="1:18">
      <c r="A5" s="2317"/>
      <c r="B5" s="1976"/>
      <c r="C5" s="1976"/>
      <c r="D5" s="1976" t="s">
        <v>2355</v>
      </c>
      <c r="E5" s="1976"/>
      <c r="F5" s="1976" t="s">
        <v>2356</v>
      </c>
      <c r="G5" s="1976"/>
      <c r="H5" s="1976"/>
      <c r="I5" s="1976"/>
      <c r="J5" s="1976"/>
      <c r="K5" s="1976"/>
      <c r="L5" s="1976"/>
      <c r="M5" s="1976"/>
      <c r="N5" s="1976"/>
      <c r="O5" s="1976"/>
      <c r="P5" s="1976"/>
      <c r="Q5" s="1976"/>
      <c r="R5" s="1976"/>
    </row>
    <row r="6" spans="1:18" ht="15" customHeight="1">
      <c r="A6" s="2317"/>
      <c r="B6" s="1976"/>
      <c r="C6" s="1976"/>
      <c r="D6" s="1976"/>
      <c r="E6" s="1976"/>
      <c r="F6" s="2311" t="s">
        <v>320</v>
      </c>
      <c r="G6" s="2312"/>
      <c r="H6" s="1479" t="s">
        <v>321</v>
      </c>
      <c r="I6" s="1517"/>
      <c r="J6" s="1517"/>
      <c r="K6" s="1480"/>
      <c r="L6" s="2313" t="s">
        <v>901</v>
      </c>
      <c r="M6" s="2313" t="s">
        <v>323</v>
      </c>
      <c r="N6" s="2313" t="s">
        <v>620</v>
      </c>
      <c r="O6" s="2311" t="s">
        <v>324</v>
      </c>
      <c r="P6" s="2312"/>
      <c r="Q6" s="2313" t="s">
        <v>2357</v>
      </c>
      <c r="R6" s="2313" t="s">
        <v>677</v>
      </c>
    </row>
    <row r="7" spans="1:18" ht="30" customHeight="1">
      <c r="A7" s="2317"/>
      <c r="B7" s="324" t="s">
        <v>675</v>
      </c>
      <c r="C7" s="324" t="s">
        <v>285</v>
      </c>
      <c r="D7" s="40" t="s">
        <v>2358</v>
      </c>
      <c r="E7" s="40" t="s">
        <v>679</v>
      </c>
      <c r="F7" s="40" t="s">
        <v>2359</v>
      </c>
      <c r="G7" s="40" t="s">
        <v>2360</v>
      </c>
      <c r="H7" s="40" t="s">
        <v>669</v>
      </c>
      <c r="I7" s="40" t="s">
        <v>2361</v>
      </c>
      <c r="J7" s="40" t="s">
        <v>900</v>
      </c>
      <c r="K7" s="40" t="s">
        <v>2362</v>
      </c>
      <c r="L7" s="2314"/>
      <c r="M7" s="2314"/>
      <c r="N7" s="2314"/>
      <c r="O7" s="40" t="s">
        <v>2363</v>
      </c>
      <c r="P7" s="40" t="s">
        <v>2364</v>
      </c>
      <c r="Q7" s="2314"/>
      <c r="R7" s="2314"/>
    </row>
    <row r="8" spans="1:18" ht="25.5" hidden="1">
      <c r="A8" s="324" t="s">
        <v>2365</v>
      </c>
      <c r="B8" s="324"/>
      <c r="C8" s="324"/>
      <c r="D8" s="40">
        <v>2650</v>
      </c>
      <c r="E8" s="40">
        <v>2020</v>
      </c>
      <c r="F8" s="40">
        <v>5450</v>
      </c>
      <c r="G8" s="40">
        <v>5450</v>
      </c>
      <c r="H8" s="40">
        <v>5590</v>
      </c>
      <c r="I8" s="40">
        <v>5340</v>
      </c>
      <c r="J8" s="40">
        <v>5340</v>
      </c>
      <c r="K8" s="40">
        <v>5210</v>
      </c>
      <c r="L8" s="40">
        <v>6640</v>
      </c>
      <c r="M8" s="40">
        <v>5040</v>
      </c>
      <c r="N8" s="40">
        <v>5120</v>
      </c>
      <c r="O8" s="40">
        <v>4650</v>
      </c>
      <c r="P8" s="40">
        <v>4510</v>
      </c>
      <c r="Q8" s="40">
        <v>4350</v>
      </c>
      <c r="R8" s="40">
        <v>3380</v>
      </c>
    </row>
    <row r="9" spans="1:18" ht="65.25" customHeight="1">
      <c r="A9" s="436" t="s">
        <v>2366</v>
      </c>
      <c r="B9" s="2319">
        <v>500</v>
      </c>
      <c r="C9" s="2319">
        <v>500</v>
      </c>
      <c r="D9" s="1070">
        <f>ROUND(((B9+C9)*D8/1000)*Belarus*(1-B50),2)</f>
        <v>2650</v>
      </c>
      <c r="E9" s="1186">
        <f>ROUND(((B9+C9)*E8/1000)*Belarus*(1-B50),2)</f>
        <v>2020</v>
      </c>
      <c r="F9" s="679">
        <f>ROUND(((B9+C9)*F8/1000)*Belarus*(1-B50),2)</f>
        <v>5450</v>
      </c>
      <c r="G9" s="679">
        <f>ROUND(((B9+C9)*G8/1000)*Belarus*(1-B50),2)</f>
        <v>5450</v>
      </c>
      <c r="H9" s="679">
        <f>ROUND(((B9+C9)*H8/1000)*Belarus*(1-B50),2)</f>
        <v>5590</v>
      </c>
      <c r="I9" s="679">
        <f>ROUND(((B9+C9)*I8/1000)*Belarus*(1-B50),2)</f>
        <v>5340</v>
      </c>
      <c r="J9" s="679">
        <f>ROUND(((B9+C9)*J8/1000)*Belarus*(1-B50),2)</f>
        <v>5340</v>
      </c>
      <c r="K9" s="679">
        <f>ROUND(((B9+C9)*K8/1000)*Belarus*(1-B50),2)</f>
        <v>5210</v>
      </c>
      <c r="L9" s="679">
        <f>ROUND(((B9+C9)*L8/1000)*Belarus*(1-B50),2)</f>
        <v>6640</v>
      </c>
      <c r="M9" s="679">
        <f>ROUND(((B9+C9)*M8/1000)*Belarus*(1-B50),2)</f>
        <v>5040</v>
      </c>
      <c r="N9" s="679">
        <f>ROUND(((B9+C9)*N8/1000)*Belarus*(1-C50),2)</f>
        <v>5120</v>
      </c>
      <c r="O9" s="679">
        <f>ROUND(((B9+C9)*O8/1000)*Belarus*(1-B50),2)</f>
        <v>4650</v>
      </c>
      <c r="P9" s="679">
        <f>ROUND(((B9+C9)*P8/1000)*Belarus*(1-B50),2)</f>
        <v>4510</v>
      </c>
      <c r="Q9" s="679">
        <f>ROUND(((B9+C9)*Q8/1000)*Belarus*(1-B50),2)</f>
        <v>4350</v>
      </c>
      <c r="R9" s="679">
        <f>ROUND(((B9+C9)*R8/1000)*Belarus*(1-B50),2)</f>
        <v>3380</v>
      </c>
    </row>
    <row r="10" spans="1:18" ht="53.25" customHeight="1">
      <c r="A10" s="436" t="s">
        <v>2367</v>
      </c>
      <c r="B10" s="2319"/>
      <c r="C10" s="2319"/>
      <c r="D10" s="1070" t="s">
        <v>369</v>
      </c>
      <c r="E10" s="1186" t="s">
        <v>369</v>
      </c>
      <c r="F10" s="679">
        <f>ROUND(((B9+C9)*F8/1000)*1.15*Belarus*(1-B50),2)</f>
        <v>6267.5</v>
      </c>
      <c r="G10" s="679">
        <f>ROUND(((B9+C9)*G8/1000)*1.15*Belarus*(1-B50),2)</f>
        <v>6267.5</v>
      </c>
      <c r="H10" s="679">
        <f>ROUND(((B9+C9)*H8/1000)*1.15*Belarus*(1-B50),2)</f>
        <v>6428.5</v>
      </c>
      <c r="I10" s="679">
        <f>ROUND(((B9+C9)*I8/1000)*1.15*Belarus*(1-B50),2)</f>
        <v>6141</v>
      </c>
      <c r="J10" s="679">
        <f>ROUND(((B9+C9)*J8/1000)*1.15*Belarus*(1-B50),2)</f>
        <v>6141</v>
      </c>
      <c r="K10" s="679">
        <f>ROUND(((B9+C9)*K8/1000)*1.15*Belarus*(1-B50),2)</f>
        <v>5991.5</v>
      </c>
      <c r="L10" s="679">
        <f>ROUND(((B9+C9)*L8/1000)*1.15*Belarus*(1-B50),2)</f>
        <v>7636</v>
      </c>
      <c r="M10" s="679">
        <f>ROUND(((B9+C9)*M8/1000)*1.15*Belarus*(1-B50),2)</f>
        <v>5796</v>
      </c>
      <c r="N10" s="679">
        <f>ROUND(((B9+C9)*N8/1000)*1.15*Belarus*(1-B50),2)</f>
        <v>5888</v>
      </c>
      <c r="O10" s="679">
        <f>ROUND(((B9+C9)*O8/1000)*1.15*Belarus*(1-B50),2)</f>
        <v>5347.5</v>
      </c>
      <c r="P10" s="679">
        <f>ROUND(((B9+C9)*P8/1000)*1.15*Belarus*(1-B50),2)</f>
        <v>5186.5</v>
      </c>
      <c r="Q10" s="679">
        <f>ROUND(((B9+C9)*Q8/1000)*1.15*Belarus*(1-B50),2)</f>
        <v>5002.5</v>
      </c>
      <c r="R10" s="679">
        <f>ROUND(((B9+C9)*R8/1000)*1.15*Belarus*(1-B50),2)</f>
        <v>3887</v>
      </c>
    </row>
    <row r="11" spans="1:18" ht="51.75" customHeight="1">
      <c r="A11" s="436" t="s">
        <v>2368</v>
      </c>
      <c r="B11" s="2319"/>
      <c r="C11" s="2319"/>
      <c r="D11" s="1070" t="s">
        <v>369</v>
      </c>
      <c r="E11" s="1186" t="s">
        <v>369</v>
      </c>
      <c r="F11" s="679">
        <f>ROUND(((B9+C9)*F8/1000)*1.3*Belarus*(1-B50),2)</f>
        <v>7085</v>
      </c>
      <c r="G11" s="679">
        <f>ROUND(((B9+C9)*G8/1000)*1.3*Belarus*(1-B50),2)</f>
        <v>7085</v>
      </c>
      <c r="H11" s="679">
        <f>ROUND(((B9+C9)*H8/1000)*1.3*Belarus*(1-B50),2)</f>
        <v>7267</v>
      </c>
      <c r="I11" s="679">
        <f>ROUND(((B9+C9)*I8/1000)*1.3*Belarus*(1-B50),2)</f>
        <v>6942</v>
      </c>
      <c r="J11" s="679">
        <f>ROUND(((B9+C9)*J8/1000)*1.3*Belarus*(1-B50),2)</f>
        <v>6942</v>
      </c>
      <c r="K11" s="679">
        <f>ROUND(((B9+C9)*K8/1000)*1.3*Belarus*(1-B50),2)</f>
        <v>6773</v>
      </c>
      <c r="L11" s="679">
        <f>ROUND(((B9+C9)*L8/1000)*1.3*Belarus*(1-B50),2)</f>
        <v>8632</v>
      </c>
      <c r="M11" s="679">
        <f>ROUND(((B9+C9)*M8/1000)*1.3*Belarus*(1-B50),2)</f>
        <v>6552</v>
      </c>
      <c r="N11" s="679">
        <f>ROUND(((B9+C9)*N8/1000)*1.3*Belarus*(1-B50),2)</f>
        <v>6656</v>
      </c>
      <c r="O11" s="679">
        <f>ROUND(((B9+C9)*O8/1000)*1.3*Belarus*(1-B50),2)</f>
        <v>6045</v>
      </c>
      <c r="P11" s="679">
        <f>ROUND(((B9+C9)*P8/1000)*1.3*Belarus*(1-B50),2)</f>
        <v>5863</v>
      </c>
      <c r="Q11" s="679">
        <f>ROUND(((B9+C9)*Q8/1000)*1.3*Belarus*(1-B50),2)</f>
        <v>5655</v>
      </c>
      <c r="R11" s="679">
        <f>ROUND(((B9+C9)*R8/1000)*1.3*Belarus*(1-B50),2)</f>
        <v>4394</v>
      </c>
    </row>
    <row r="12" spans="1:18" ht="57.75" customHeight="1">
      <c r="A12" s="436" t="s">
        <v>2369</v>
      </c>
      <c r="B12" s="2319"/>
      <c r="C12" s="2319"/>
      <c r="D12" s="1070" t="s">
        <v>369</v>
      </c>
      <c r="E12" s="1186" t="s">
        <v>369</v>
      </c>
      <c r="F12" s="679">
        <f>ROUND(((B9+C9)*F8/1000)*1.5*Belarus*(1-B50),2)</f>
        <v>8175</v>
      </c>
      <c r="G12" s="679">
        <f>ROUND(((B9+C9)*G8/1000)*1.5*Belarus*(1-B50),2)</f>
        <v>8175</v>
      </c>
      <c r="H12" s="679">
        <f>ROUND(((B9+C9)*H8/1000)*1.5*Belarus*(1-B50),2)</f>
        <v>8385</v>
      </c>
      <c r="I12" s="679">
        <f>ROUND(((B9+C9)*I8/1000)*1.5*Belarus*(1-B50),2)</f>
        <v>8010</v>
      </c>
      <c r="J12" s="679">
        <f>ROUND(((B9+C9)*J8/1000)*1.5*Belarus*(1-B50),2)</f>
        <v>8010</v>
      </c>
      <c r="K12" s="679">
        <f>ROUND(((B9+C9)*K8/1000)*1.5*Belarus*(1-B50),2)</f>
        <v>7815</v>
      </c>
      <c r="L12" s="679">
        <f>ROUND(((B9+C9)*L8/1000)*1.5*Belarus*(1-B50),2)</f>
        <v>9960</v>
      </c>
      <c r="M12" s="679">
        <f>ROUND(((B9+C9)*M8/1000)*1.5*Belarus*(1-B50),2)</f>
        <v>7560</v>
      </c>
      <c r="N12" s="679">
        <f>ROUND(((B9+C9)*N8/1000)*1.5*Belarus*(1-B50),2)</f>
        <v>7680</v>
      </c>
      <c r="O12" s="679">
        <f>ROUND(((B9+C9)*O8/1000)*1.5*Belarus*(1-B50),2)</f>
        <v>6975</v>
      </c>
      <c r="P12" s="679">
        <f>ROUND(((B9+C9)*P8/1000)*1.5*Belarus*(1-B50),2)</f>
        <v>6765</v>
      </c>
      <c r="Q12" s="679">
        <f>ROUND(((B9+C9)*Q8/1000)*1.5*Belarus*(1-B50),2)</f>
        <v>6525</v>
      </c>
      <c r="R12" s="679">
        <f>ROUND(((B9+C9)*R8/1000)*1.5*Belarus*(1-B50),2)</f>
        <v>5070</v>
      </c>
    </row>
    <row r="13" spans="1:18" ht="25.5" hidden="1">
      <c r="A13" s="324" t="s">
        <v>2370</v>
      </c>
      <c r="B13" s="2319"/>
      <c r="C13" s="2319"/>
      <c r="D13" s="254" t="s">
        <v>369</v>
      </c>
      <c r="E13" s="254" t="s">
        <v>369</v>
      </c>
      <c r="F13" s="254">
        <v>1430</v>
      </c>
      <c r="G13" s="254">
        <v>1330</v>
      </c>
      <c r="H13" s="254">
        <v>1480</v>
      </c>
      <c r="I13" s="254">
        <v>1480</v>
      </c>
      <c r="J13" s="254">
        <v>1300</v>
      </c>
      <c r="K13" s="254">
        <v>1260</v>
      </c>
      <c r="L13" s="254">
        <v>1490</v>
      </c>
      <c r="M13" s="254">
        <v>1160</v>
      </c>
      <c r="N13" s="254">
        <v>1200</v>
      </c>
      <c r="O13" s="40">
        <v>1050</v>
      </c>
      <c r="P13" s="40">
        <v>1100</v>
      </c>
      <c r="Q13" s="40">
        <v>1000</v>
      </c>
      <c r="R13" s="254">
        <v>820</v>
      </c>
    </row>
    <row r="14" spans="1:18" ht="51.75" customHeight="1">
      <c r="A14" s="436" t="s">
        <v>2371</v>
      </c>
      <c r="B14" s="2319"/>
      <c r="C14" s="2319"/>
      <c r="D14" s="437" t="s">
        <v>369</v>
      </c>
      <c r="E14" s="438" t="s">
        <v>369</v>
      </c>
      <c r="F14" s="1187">
        <f>ROUND(((B9+C9)*F13/1000)*Belarus*(1-E50),2)</f>
        <v>1430</v>
      </c>
      <c r="G14" s="1187">
        <f>ROUND(((B9+C9)*G13/1000)*Belarus*(1-E50),2)</f>
        <v>1330</v>
      </c>
      <c r="H14" s="1187">
        <f>ROUND(((B9+C9)*H13/1000)*Belarus*(1-E50),2)</f>
        <v>1480</v>
      </c>
      <c r="I14" s="1187">
        <f>ROUND(((B9+C9)*I13/1000)*Belarus*(1-E50),2)</f>
        <v>1480</v>
      </c>
      <c r="J14" s="1187">
        <f>ROUND(((B9+C9)*J13/1000)*Belarus*(1-E50),2)</f>
        <v>1300</v>
      </c>
      <c r="K14" s="1187">
        <f>ROUND(((B9+C9)*K13/1000)*Belarus*(1-E50),2)</f>
        <v>1260</v>
      </c>
      <c r="L14" s="1187">
        <f>ROUND(((B9+C9)*L13/1000)*Belarus*(1-E50),2)</f>
        <v>1490</v>
      </c>
      <c r="M14" s="1187">
        <f>ROUND(((B9+C9)*M13/1000)*Belarus*(1-E50),2)</f>
        <v>1160</v>
      </c>
      <c r="N14" s="1187">
        <f>ROUND(((B9+C9)*N13/1000)*Belarus*(1-E50),2)</f>
        <v>1200</v>
      </c>
      <c r="O14" s="1187">
        <f>ROUND(((B9+C9)*O13/1000)*Belarus*(1-E50),2)</f>
        <v>1050</v>
      </c>
      <c r="P14" s="1187">
        <f>ROUND(((B9+C9)*P13/1000)*Belarus*(1-E50),2)</f>
        <v>1100</v>
      </c>
      <c r="Q14" s="1187">
        <f>ROUND(((B9+C9)*Q13/1000)*Belarus*(1-E50),2)</f>
        <v>1000</v>
      </c>
      <c r="R14" s="1187">
        <f>ROUND(((B9+C9)*R13/1000)*Belarus*(1-E50),2)</f>
        <v>820</v>
      </c>
    </row>
    <row r="15" spans="1:18" ht="54.75" customHeight="1">
      <c r="A15" s="436" t="s">
        <v>2372</v>
      </c>
      <c r="B15" s="2319"/>
      <c r="C15" s="2319"/>
      <c r="D15" s="437" t="s">
        <v>369</v>
      </c>
      <c r="E15" s="438" t="s">
        <v>369</v>
      </c>
      <c r="F15" s="1187">
        <f>ROUND(((B9+C9)*F13/1000)*1.3*Belarus*(1-E50),2)</f>
        <v>1859</v>
      </c>
      <c r="G15" s="1187">
        <f>ROUND(((B9+C9)*G13/1000)*1.3*Belarus*(1-E50),2)</f>
        <v>1729</v>
      </c>
      <c r="H15" s="1187">
        <f>ROUND(((B9+C9)*H13/1000)*1.3*Belarus*(1-E50),2)</f>
        <v>1924</v>
      </c>
      <c r="I15" s="1187">
        <f>ROUND(((B9+C9)*I13/1000)*1.3*Belarus*(1-E50),2)</f>
        <v>1924</v>
      </c>
      <c r="J15" s="1187">
        <f>ROUND(((B9+C9)*J13/1000)*1.3*Belarus*(1-E50),2)</f>
        <v>1690</v>
      </c>
      <c r="K15" s="1187">
        <f>ROUND(((B9+C9)*K13/1000)*1.3*Belarus*(1-E50),2)</f>
        <v>1638</v>
      </c>
      <c r="L15" s="1187">
        <f>ROUND(((B9+C9)*L13/1000)*1.3*Belarus*(1-E50),2)</f>
        <v>1937</v>
      </c>
      <c r="M15" s="1187">
        <f>ROUND(((B9+C9)*M13/1000)*1.3*Belarus*(1-E50),2)</f>
        <v>1508</v>
      </c>
      <c r="N15" s="1187">
        <f>ROUND(((B9+C9)*N13/1000)*1.3*Belarus*(1-E50),2)</f>
        <v>1560</v>
      </c>
      <c r="O15" s="1187">
        <f>ROUND(((B9+C9)*O13/1000)*1.3*Belarus*(1-E50),2)</f>
        <v>1365</v>
      </c>
      <c r="P15" s="1187">
        <f>ROUND(((B9+C9)*P13/1000)*1.3*Belarus*(1-E50),2)</f>
        <v>1430</v>
      </c>
      <c r="Q15" s="1187">
        <f>ROUND(((B9+C9)*Q13/1000)*1.3*Belarus*(1-E50),2)</f>
        <v>1300</v>
      </c>
      <c r="R15" s="1187">
        <f>ROUND(((B9+C9)*R13/1000)*1.3*Belarus*(1-E50),2)</f>
        <v>1066</v>
      </c>
    </row>
    <row r="16" spans="1:18" ht="50.25" customHeight="1">
      <c r="A16" s="436" t="s">
        <v>2373</v>
      </c>
      <c r="B16" s="2319"/>
      <c r="C16" s="2319"/>
      <c r="D16" s="437" t="s">
        <v>369</v>
      </c>
      <c r="E16" s="438" t="s">
        <v>369</v>
      </c>
      <c r="F16" s="1187">
        <f>ROUND(((B9+C9)*F13/1000)*1.5*Belarus*(1-E50),2)</f>
        <v>2145</v>
      </c>
      <c r="G16" s="1187">
        <f>ROUND(((B9+C9)*G13/1000)*1.5*Belarus*(1-E50),2)</f>
        <v>1995</v>
      </c>
      <c r="H16" s="1187">
        <f>ROUND(((B9+C9)*H13/1000)*1.5*Belarus*(1-E50),2)</f>
        <v>2220</v>
      </c>
      <c r="I16" s="1187">
        <f>ROUND(((B9+C9)*I13/1000)*1.5*Belarus*(1-E50),2)</f>
        <v>2220</v>
      </c>
      <c r="J16" s="1187">
        <f>ROUND(((B9+C9)*J13/1000)*1.5*Belarus*(1-E50),2)</f>
        <v>1950</v>
      </c>
      <c r="K16" s="1187">
        <f>ROUND(((B9+C9)*K13/1000)*1.5*Belarus*(1-E50),2)</f>
        <v>1890</v>
      </c>
      <c r="L16" s="1187">
        <f>ROUND(((B9+C9)*L13/1000)*1.5*Belarus*(1-E50),2)</f>
        <v>2235</v>
      </c>
      <c r="M16" s="1187">
        <f>ROUND(((B9+C9)*M13/1000)*1.5*Belarus*(1-E50),2)</f>
        <v>1740</v>
      </c>
      <c r="N16" s="1187">
        <f>ROUND(((B9+C9)*N13/1000)*1.5*Belarus*(1-E50),2)</f>
        <v>1800</v>
      </c>
      <c r="O16" s="1187">
        <f>ROUND(((B9+C9)*O13/1000)*1.5*Belarus*(1-E50),2)</f>
        <v>1575</v>
      </c>
      <c r="P16" s="1187">
        <f>ROUND(((B9+C9)*P13/1000)*1.5*Belarus*(1-E50),2)</f>
        <v>1650</v>
      </c>
      <c r="Q16" s="1187">
        <f>ROUND(((B9+C9)*Q13/1000)*1.5*Belarus*(1-E50),2)</f>
        <v>1500</v>
      </c>
      <c r="R16" s="1187">
        <f>ROUND(((B9+C9)*R13/1000)*1.5*Belarus*(1-E50),2)</f>
        <v>1230</v>
      </c>
    </row>
    <row r="17" spans="1:17" ht="6" customHeight="1">
      <c r="P17" s="439"/>
      <c r="Q17" s="439"/>
    </row>
    <row r="18" spans="1:17" ht="12.75" customHeight="1">
      <c r="A18" s="46" t="s">
        <v>2374</v>
      </c>
      <c r="B18" s="319"/>
      <c r="C18" s="319"/>
      <c r="D18" s="319"/>
      <c r="E18" s="319"/>
      <c r="F18" s="319"/>
      <c r="G18" s="319"/>
      <c r="O18" s="439"/>
    </row>
    <row r="19" spans="1:17">
      <c r="A19" s="52" t="s">
        <v>2375</v>
      </c>
      <c r="B19" s="319"/>
      <c r="C19" s="319"/>
      <c r="D19" s="319"/>
      <c r="E19" s="319"/>
      <c r="F19" s="319"/>
      <c r="G19" s="319"/>
      <c r="O19" s="439"/>
    </row>
    <row r="20" spans="1:17">
      <c r="A20" s="52" t="s">
        <v>2376</v>
      </c>
      <c r="O20" s="439"/>
    </row>
    <row r="21" spans="1:17">
      <c r="A21" s="52" t="s">
        <v>2377</v>
      </c>
      <c r="O21" s="439"/>
    </row>
    <row r="22" spans="1:17">
      <c r="A22" s="187" t="s">
        <v>2378</v>
      </c>
      <c r="O22" s="439"/>
    </row>
    <row r="23" spans="1:17">
      <c r="A23" s="52" t="s">
        <v>2379</v>
      </c>
      <c r="O23" s="439"/>
    </row>
    <row r="24" spans="1:17">
      <c r="A24" s="54" t="s">
        <v>2380</v>
      </c>
      <c r="B24" s="54"/>
      <c r="C24" s="54"/>
      <c r="D24" s="54"/>
      <c r="E24" s="54"/>
      <c r="F24" s="54"/>
      <c r="O24" s="439"/>
    </row>
    <row r="25" spans="1:17">
      <c r="A25" s="289"/>
      <c r="B25" s="54"/>
      <c r="C25" s="54"/>
      <c r="D25" s="54"/>
      <c r="E25" s="54"/>
      <c r="F25" s="54"/>
      <c r="O25" s="439"/>
    </row>
    <row r="26" spans="1:17">
      <c r="A26" s="289" t="s">
        <v>2381</v>
      </c>
      <c r="B26" s="54"/>
      <c r="C26" s="54"/>
      <c r="D26" s="54"/>
      <c r="E26" s="54"/>
      <c r="F26" s="54"/>
      <c r="O26" s="439"/>
    </row>
    <row r="27" spans="1:17">
      <c r="A27" s="289" t="s">
        <v>6714</v>
      </c>
      <c r="B27" s="54"/>
      <c r="C27" s="54"/>
      <c r="D27" s="54"/>
      <c r="E27" s="54"/>
      <c r="F27" s="54"/>
      <c r="O27" s="439"/>
    </row>
    <row r="28" spans="1:17">
      <c r="A28" s="289" t="s">
        <v>2382</v>
      </c>
      <c r="B28" s="54"/>
      <c r="C28" s="54"/>
      <c r="D28" s="54"/>
      <c r="E28" s="54"/>
      <c r="F28" s="54"/>
      <c r="O28" s="439"/>
    </row>
    <row r="29" spans="1:17">
      <c r="A29" s="289" t="s">
        <v>2383</v>
      </c>
      <c r="B29" s="54"/>
      <c r="C29" s="54"/>
      <c r="D29" s="54"/>
      <c r="E29" s="54"/>
      <c r="F29" s="54"/>
      <c r="O29" s="439"/>
    </row>
    <row r="30" spans="1:17" ht="9" customHeight="1">
      <c r="A30" s="54"/>
      <c r="B30" s="54"/>
      <c r="C30" s="54"/>
      <c r="D30" s="54"/>
      <c r="E30" s="54"/>
      <c r="F30" s="54"/>
    </row>
    <row r="31" spans="1:17">
      <c r="A31" s="2320" t="s">
        <v>686</v>
      </c>
      <c r="B31" s="2320"/>
      <c r="C31" s="2320"/>
      <c r="D31" s="2320"/>
      <c r="E31" s="2320"/>
      <c r="F31" s="2320"/>
      <c r="G31" s="2320"/>
    </row>
    <row r="32" spans="1:17">
      <c r="A32" s="2320"/>
      <c r="B32" s="2320"/>
      <c r="C32" s="2320"/>
      <c r="D32" s="2320"/>
      <c r="E32" s="2320"/>
      <c r="F32" s="2320"/>
      <c r="G32" s="2320"/>
    </row>
    <row r="33" spans="1:18" ht="8.25" customHeight="1"/>
    <row r="34" spans="1:18">
      <c r="A34" s="1927" t="s">
        <v>2384</v>
      </c>
      <c r="B34" s="1927"/>
      <c r="C34" s="1927"/>
      <c r="D34" s="1927"/>
      <c r="E34" s="1927"/>
      <c r="F34" s="1927"/>
      <c r="G34" s="1927"/>
      <c r="H34" s="440"/>
      <c r="I34" s="440"/>
      <c r="J34" s="440"/>
      <c r="K34" s="440"/>
      <c r="L34" s="440"/>
      <c r="M34" s="440"/>
      <c r="N34" s="440"/>
      <c r="O34" s="440"/>
      <c r="P34" s="440"/>
      <c r="Q34" s="440"/>
      <c r="R34" s="440"/>
    </row>
    <row r="35" spans="1:18">
      <c r="A35" s="1927"/>
      <c r="B35" s="1927"/>
      <c r="C35" s="1927"/>
      <c r="D35" s="1927"/>
      <c r="E35" s="1927"/>
      <c r="F35" s="1927"/>
      <c r="G35" s="1927"/>
      <c r="H35" s="440"/>
      <c r="I35" s="440"/>
      <c r="J35" s="440"/>
      <c r="K35" s="440"/>
      <c r="L35" s="440"/>
      <c r="M35" s="440"/>
      <c r="N35" s="440"/>
      <c r="O35" s="440"/>
      <c r="P35" s="440"/>
      <c r="Q35" s="440"/>
      <c r="R35" s="440"/>
    </row>
    <row r="36" spans="1:18" ht="6.75" customHeight="1">
      <c r="H36" s="440"/>
      <c r="I36" s="440"/>
      <c r="J36" s="440"/>
      <c r="K36" s="440"/>
      <c r="L36" s="440"/>
      <c r="M36" s="440"/>
      <c r="N36" s="440"/>
      <c r="O36" s="440"/>
      <c r="P36" s="440"/>
      <c r="Q36" s="440"/>
      <c r="R36" s="440"/>
    </row>
    <row r="37" spans="1:18">
      <c r="A37" s="2318" t="s">
        <v>2385</v>
      </c>
      <c r="B37" s="2318"/>
      <c r="C37" s="2318"/>
      <c r="D37" s="2318"/>
      <c r="E37" s="2318"/>
      <c r="F37" s="2318"/>
      <c r="G37" s="2318"/>
      <c r="H37" s="2318"/>
      <c r="I37" s="2318"/>
      <c r="J37" s="440"/>
      <c r="K37" s="440"/>
      <c r="L37" s="440"/>
      <c r="M37" s="440"/>
      <c r="N37" s="440"/>
      <c r="O37" s="440"/>
      <c r="P37" s="440"/>
      <c r="Q37" s="440"/>
      <c r="R37" s="440"/>
    </row>
    <row r="38" spans="1:18">
      <c r="A38" s="2318"/>
      <c r="B38" s="2318"/>
      <c r="C38" s="2318"/>
      <c r="D38" s="2318"/>
      <c r="E38" s="2318"/>
      <c r="F38" s="2318"/>
      <c r="G38" s="2318"/>
      <c r="H38" s="2318"/>
      <c r="I38" s="2318"/>
      <c r="J38" s="440"/>
      <c r="K38" s="440"/>
      <c r="L38" s="440"/>
      <c r="M38" s="440"/>
      <c r="N38" s="440"/>
      <c r="O38" s="440"/>
      <c r="P38" s="440"/>
      <c r="Q38" s="440"/>
      <c r="R38" s="440"/>
    </row>
    <row r="39" spans="1:18">
      <c r="A39" s="2318"/>
      <c r="B39" s="2318"/>
      <c r="C39" s="2318"/>
      <c r="D39" s="2318"/>
      <c r="E39" s="2318"/>
      <c r="F39" s="2318"/>
      <c r="G39" s="2318"/>
      <c r="H39" s="2318"/>
      <c r="I39" s="2318"/>
      <c r="J39" s="441"/>
      <c r="K39" s="441"/>
      <c r="L39" s="441"/>
      <c r="M39" s="441"/>
      <c r="O39" s="439"/>
    </row>
    <row r="40" spans="1:18" ht="6.75" customHeight="1">
      <c r="I40" s="441"/>
      <c r="J40" s="441"/>
      <c r="K40" s="441"/>
      <c r="L40" s="441"/>
      <c r="M40" s="441"/>
      <c r="O40" s="439"/>
    </row>
    <row r="41" spans="1:18">
      <c r="A41" s="2318" t="s">
        <v>2386</v>
      </c>
      <c r="B41" s="2318"/>
      <c r="C41" s="2318"/>
      <c r="D41" s="2318"/>
      <c r="E41" s="2318"/>
      <c r="F41" s="2318"/>
      <c r="G41" s="2318"/>
      <c r="O41" s="439"/>
    </row>
    <row r="42" spans="1:18">
      <c r="A42" s="2318"/>
      <c r="B42" s="2318"/>
      <c r="C42" s="2318"/>
      <c r="D42" s="2318"/>
      <c r="E42" s="2318"/>
      <c r="F42" s="2318"/>
      <c r="G42" s="2318"/>
    </row>
    <row r="43" spans="1:18">
      <c r="A43" s="2318"/>
      <c r="B43" s="2318"/>
      <c r="C43" s="2318"/>
      <c r="D43" s="2318"/>
      <c r="E43" s="2318"/>
      <c r="F43" s="2318"/>
      <c r="G43" s="2318"/>
    </row>
    <row r="44" spans="1:18" ht="9.75" customHeight="1">
      <c r="B44" s="440"/>
      <c r="C44" s="440"/>
      <c r="D44" s="440"/>
      <c r="E44" s="440"/>
      <c r="F44" s="440"/>
      <c r="G44" s="440"/>
    </row>
    <row r="45" spans="1:18">
      <c r="A45" s="440" t="str">
        <f>"Пример: колпак на столб 300 мм на 800 мм в покрытии Quarzit рассчитывается по формуле (0,3 + 0,8) х "&amp;(1400*Belarus)&amp;" = "&amp;(1540*Belarus)&amp;" руб/шт"</f>
        <v>Пример: колпак на столб 300 мм на 800 мм в покрытии Quarzit рассчитывается по формуле (0,3 + 0,8) х 1400 = 1540 руб/шт</v>
      </c>
      <c r="B45" s="440"/>
      <c r="C45" s="440"/>
      <c r="D45" s="440"/>
      <c r="E45" s="440"/>
      <c r="F45" s="440"/>
      <c r="G45" s="440"/>
    </row>
    <row r="47" spans="1:18">
      <c r="O47" s="439"/>
    </row>
    <row r="48" spans="1:18">
      <c r="O48" s="439"/>
    </row>
    <row r="49" spans="1:15">
      <c r="A49" s="2321" t="s">
        <v>508</v>
      </c>
      <c r="B49" s="2322" t="s">
        <v>2387</v>
      </c>
      <c r="C49" s="2322"/>
      <c r="D49" s="2322"/>
      <c r="E49" s="2322" t="s">
        <v>2388</v>
      </c>
      <c r="F49" s="2322"/>
      <c r="G49" s="2322"/>
      <c r="O49" s="439"/>
    </row>
    <row r="50" spans="1:15">
      <c r="A50" s="2321"/>
      <c r="B50" s="1387">
        <v>0</v>
      </c>
      <c r="C50" s="1387"/>
      <c r="D50" s="1387"/>
      <c r="E50" s="1387">
        <v>0</v>
      </c>
      <c r="F50" s="1387"/>
      <c r="G50" s="1387"/>
      <c r="N50" s="439"/>
    </row>
  </sheetData>
  <sheetProtection selectLockedCells="1" selectUnlockedCells="1"/>
  <mergeCells count="28">
    <mergeCell ref="A31:G32"/>
    <mergeCell ref="F6:G6"/>
    <mergeCell ref="A41:G43"/>
    <mergeCell ref="A49:A50"/>
    <mergeCell ref="B49:D49"/>
    <mergeCell ref="E49:G49"/>
    <mergeCell ref="B50:D50"/>
    <mergeCell ref="E50:G50"/>
    <mergeCell ref="R6:R7"/>
    <mergeCell ref="F5:R5"/>
    <mergeCell ref="A34:G35"/>
    <mergeCell ref="A37:I39"/>
    <mergeCell ref="H6:K6"/>
    <mergeCell ref="L6:L7"/>
    <mergeCell ref="M6:M7"/>
    <mergeCell ref="N6:N7"/>
    <mergeCell ref="B9:B16"/>
    <mergeCell ref="C9:C16"/>
    <mergeCell ref="O6:P6"/>
    <mergeCell ref="Q6:Q7"/>
    <mergeCell ref="A1:D1"/>
    <mergeCell ref="A2:L2"/>
    <mergeCell ref="Q2:R2"/>
    <mergeCell ref="Q3:R3"/>
    <mergeCell ref="A4:A7"/>
    <mergeCell ref="B4:C6"/>
    <mergeCell ref="D4:R4"/>
    <mergeCell ref="D5:E6"/>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69"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28</oddFooter>
  </headerFooter>
  <drawing r:id="rId2"/>
  <legacy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111"/>
  <sheetViews>
    <sheetView zoomScale="70" zoomScaleNormal="70" workbookViewId="0">
      <selection sqref="A1:D1"/>
    </sheetView>
  </sheetViews>
  <sheetFormatPr defaultColWidth="13.5703125" defaultRowHeight="12.75"/>
  <cols>
    <col min="1" max="1" width="43" style="46" customWidth="1"/>
    <col min="2" max="2" width="29.140625" style="46" customWidth="1"/>
    <col min="3" max="3" width="16.7109375" style="46" customWidth="1"/>
    <col min="4" max="4" width="12.7109375" style="46" customWidth="1"/>
    <col min="5" max="5" width="15.28515625" style="46" customWidth="1"/>
    <col min="6" max="6" width="25.28515625" style="46" customWidth="1"/>
    <col min="7" max="7" width="15.85546875" style="46" customWidth="1"/>
    <col min="8" max="8" width="24.140625" style="46" customWidth="1"/>
    <col min="9" max="10" width="18.140625" style="46" customWidth="1"/>
    <col min="11" max="12" width="22" style="46" customWidth="1"/>
    <col min="13" max="16384" width="13.5703125" style="46"/>
  </cols>
  <sheetData>
    <row r="1" spans="1:12" ht="16.5" customHeight="1">
      <c r="A1" s="1890" t="s">
        <v>312</v>
      </c>
      <c r="B1" s="1890"/>
      <c r="C1" s="1890"/>
      <c r="D1" s="1890"/>
    </row>
    <row r="2" spans="1:12" ht="18" customHeight="1" thickBot="1">
      <c r="A2" s="1482" t="s">
        <v>2389</v>
      </c>
      <c r="B2" s="1482"/>
      <c r="C2" s="1482"/>
      <c r="D2" s="1482"/>
      <c r="E2" s="1482"/>
      <c r="F2" s="1482"/>
      <c r="G2" s="1482"/>
      <c r="H2" s="1482"/>
      <c r="I2" s="1482"/>
      <c r="J2" s="738"/>
      <c r="K2" s="737" t="s">
        <v>313</v>
      </c>
      <c r="L2" s="743">
        <v>43283</v>
      </c>
    </row>
    <row r="3" spans="1:12" s="52" customFormat="1" ht="12.75" customHeight="1">
      <c r="A3" s="135"/>
      <c r="B3" s="135"/>
      <c r="C3" s="135"/>
      <c r="D3" s="139"/>
      <c r="K3" s="8" t="s">
        <v>315</v>
      </c>
      <c r="L3" s="442">
        <v>43277</v>
      </c>
    </row>
    <row r="4" spans="1:12" s="52" customFormat="1" ht="15" customHeight="1">
      <c r="A4" s="1398" t="s">
        <v>316</v>
      </c>
      <c r="B4" s="1398" t="s">
        <v>2390</v>
      </c>
      <c r="C4" s="1388" t="s">
        <v>2391</v>
      </c>
      <c r="D4" s="1388"/>
      <c r="E4" s="1353" t="s">
        <v>319</v>
      </c>
      <c r="F4" s="1354"/>
      <c r="G4" s="1354"/>
      <c r="H4" s="1354"/>
      <c r="I4" s="1354"/>
      <c r="J4" s="1354"/>
      <c r="K4" s="1354"/>
      <c r="L4" s="1355"/>
    </row>
    <row r="5" spans="1:12" s="52" customFormat="1" ht="12.75" customHeight="1">
      <c r="A5" s="1398"/>
      <c r="B5" s="1398"/>
      <c r="C5" s="1388"/>
      <c r="D5" s="1388"/>
      <c r="E5" s="1352" t="s">
        <v>339</v>
      </c>
      <c r="F5" s="1352"/>
      <c r="G5" s="1352"/>
      <c r="H5" s="1352"/>
      <c r="I5" s="1352"/>
      <c r="J5" s="1352"/>
      <c r="K5" s="1352"/>
      <c r="L5" s="1352"/>
    </row>
    <row r="6" spans="1:12" s="52" customFormat="1" ht="12.75" customHeight="1">
      <c r="A6" s="2331" t="s">
        <v>340</v>
      </c>
      <c r="B6" s="2331"/>
      <c r="C6" s="2331"/>
      <c r="D6" s="2331"/>
      <c r="E6" s="1352" t="s">
        <v>347</v>
      </c>
      <c r="F6" s="1352"/>
      <c r="G6" s="1352"/>
      <c r="H6" s="1352"/>
      <c r="I6" s="1352"/>
      <c r="J6" s="1352" t="s">
        <v>348</v>
      </c>
      <c r="K6" s="1352"/>
      <c r="L6" s="1352"/>
    </row>
    <row r="7" spans="1:12" s="52" customFormat="1">
      <c r="A7" s="2331" t="s">
        <v>2392</v>
      </c>
      <c r="B7" s="2331"/>
      <c r="C7" s="2331"/>
      <c r="D7" s="2331"/>
      <c r="E7" s="126">
        <v>0.35</v>
      </c>
      <c r="F7" s="131">
        <v>0.4</v>
      </c>
      <c r="G7" s="131">
        <v>0.45</v>
      </c>
      <c r="H7" s="126">
        <v>0.5</v>
      </c>
      <c r="I7" s="126">
        <v>0.55000000000000004</v>
      </c>
      <c r="J7" s="126">
        <v>0.7</v>
      </c>
      <c r="K7" s="126">
        <v>0.8</v>
      </c>
      <c r="L7" s="126">
        <v>0.9</v>
      </c>
    </row>
    <row r="8" spans="1:12" s="52" customFormat="1" ht="15" customHeight="1">
      <c r="A8" s="2332" t="s">
        <v>537</v>
      </c>
      <c r="B8" s="2332"/>
      <c r="C8" s="2332"/>
      <c r="D8" s="2332"/>
      <c r="E8" s="2333" t="s">
        <v>364</v>
      </c>
      <c r="F8" s="2334"/>
      <c r="G8" s="2334"/>
      <c r="H8" s="2334"/>
      <c r="I8" s="2334"/>
      <c r="J8" s="2334"/>
      <c r="K8" s="2334"/>
      <c r="L8" s="2335"/>
    </row>
    <row r="9" spans="1:12" s="52" customFormat="1">
      <c r="A9" s="801" t="s">
        <v>518</v>
      </c>
      <c r="B9" s="802"/>
      <c r="C9" s="802"/>
      <c r="D9" s="802"/>
      <c r="E9" s="802"/>
      <c r="F9" s="802"/>
      <c r="G9" s="802"/>
      <c r="H9" s="802"/>
      <c r="I9" s="802"/>
      <c r="J9" s="802"/>
      <c r="K9" s="802"/>
      <c r="L9" s="803"/>
    </row>
    <row r="10" spans="1:12" s="52" customFormat="1">
      <c r="A10" s="396" t="s">
        <v>2393</v>
      </c>
      <c r="B10" s="89" t="s">
        <v>2394</v>
      </c>
      <c r="C10" s="1292" t="s">
        <v>2395</v>
      </c>
      <c r="D10" s="1292"/>
      <c r="E10" s="1162" t="s">
        <v>369</v>
      </c>
      <c r="F10" s="1162" t="s">
        <v>369</v>
      </c>
      <c r="G10" s="1162" t="str">
        <f>ROUND(Falz2_Zn045*Belarus*(1-D91),2)&amp;" СПБ"</f>
        <v>300 СПБ</v>
      </c>
      <c r="H10" s="1162" t="str">
        <f>ROUND(Falz2_Zn05*Belarus*(1-E91),2)&amp;" СПБ"</f>
        <v>321 СПБ</v>
      </c>
      <c r="I10" s="1162">
        <f>ROUND(Falz2_Zn055*Belarus*(1-F91),2)</f>
        <v>361</v>
      </c>
      <c r="J10" s="1162">
        <f>ROUND(Falz2_Zn07*Belarus*(1-G91),2)</f>
        <v>429</v>
      </c>
      <c r="K10" s="1162" t="s">
        <v>369</v>
      </c>
      <c r="L10" s="163" t="s">
        <v>369</v>
      </c>
    </row>
    <row r="11" spans="1:12" s="52" customFormat="1">
      <c r="A11" s="396" t="s">
        <v>2396</v>
      </c>
      <c r="B11" s="89" t="s">
        <v>2397</v>
      </c>
      <c r="C11" s="1292" t="s">
        <v>2395</v>
      </c>
      <c r="D11" s="1292"/>
      <c r="E11" s="1162" t="s">
        <v>369</v>
      </c>
      <c r="F11" s="1162" t="s">
        <v>369</v>
      </c>
      <c r="G11" s="1162" t="str">
        <f>ROUND(Klik_Zn045*Belarus*(1-D91),2)&amp;" СПБ"</f>
        <v>346 СПБ</v>
      </c>
      <c r="H11" s="1162" t="str">
        <f>ROUND(Klik_Zn05*Belarus*(1-E91),2)&amp;" СПБ"</f>
        <v>370 СПБ</v>
      </c>
      <c r="I11" s="1162">
        <f>ROUND(Klik_Zn055*Belarus*(1-F91),2)</f>
        <v>416</v>
      </c>
      <c r="J11" s="1162">
        <f>ROUND(Klik_Zn07*Belarus*(1-G91),2)</f>
        <v>495</v>
      </c>
      <c r="K11" s="1162" t="s">
        <v>369</v>
      </c>
      <c r="L11" s="163" t="s">
        <v>369</v>
      </c>
    </row>
    <row r="12" spans="1:12" s="52" customFormat="1">
      <c r="A12" s="97" t="s">
        <v>383</v>
      </c>
      <c r="B12" s="89" t="s">
        <v>2398</v>
      </c>
      <c r="C12" s="1292" t="s">
        <v>381</v>
      </c>
      <c r="D12" s="1292"/>
      <c r="E12" s="1162" t="s">
        <v>369</v>
      </c>
      <c r="F12" s="1162" t="s">
        <v>369</v>
      </c>
      <c r="G12" s="1162" t="s">
        <v>369</v>
      </c>
      <c r="H12" s="1162" t="s">
        <v>369</v>
      </c>
      <c r="I12" s="1162">
        <f>ROUND(Klik_mini_Zn055*Belarus*(1-F91),2)</f>
        <v>451</v>
      </c>
      <c r="J12" s="1162">
        <f>ROUND(Klik_mini_Zn07*Belarus*(1-G91),2)</f>
        <v>536</v>
      </c>
      <c r="K12" s="1162" t="s">
        <v>369</v>
      </c>
      <c r="L12" s="163" t="s">
        <v>369</v>
      </c>
    </row>
    <row r="13" spans="1:12" s="52" customFormat="1">
      <c r="A13" s="801" t="s">
        <v>385</v>
      </c>
      <c r="B13" s="802"/>
      <c r="C13" s="802"/>
      <c r="D13" s="802"/>
      <c r="E13" s="802"/>
      <c r="F13" s="802"/>
      <c r="G13" s="802"/>
      <c r="H13" s="802"/>
      <c r="I13" s="802"/>
      <c r="J13" s="802"/>
      <c r="K13" s="802"/>
      <c r="L13" s="803"/>
    </row>
    <row r="14" spans="1:12" s="52" customFormat="1">
      <c r="A14" s="102" t="s">
        <v>93</v>
      </c>
      <c r="B14" s="89" t="s">
        <v>2399</v>
      </c>
      <c r="C14" s="1292" t="s">
        <v>2400</v>
      </c>
      <c r="D14" s="1292"/>
      <c r="E14" s="1162">
        <f>ROUND(PnC8_Zn035*Belarus*(1-B92),2)</f>
        <v>208</v>
      </c>
      <c r="F14" s="1162">
        <f>ROUND(PnC8_Zn04*Belarus*(1-C92),2)</f>
        <v>226</v>
      </c>
      <c r="G14" s="1162">
        <f>ROUND(PnC8_Zn045*Belarus*(1-D92),2)</f>
        <v>257</v>
      </c>
      <c r="H14" s="1162">
        <f>ROUND(PnC8_Zn05*Belarus*(1-E92),2)</f>
        <v>279</v>
      </c>
      <c r="I14" s="1162">
        <f>ROUND(PnC8_Zn055*Belarus*(1-F92),2)</f>
        <v>321</v>
      </c>
      <c r="J14" s="1162" t="s">
        <v>369</v>
      </c>
      <c r="K14" s="1162" t="s">
        <v>369</v>
      </c>
      <c r="L14" s="1162" t="s">
        <v>369</v>
      </c>
    </row>
    <row r="15" spans="1:12" s="52" customFormat="1">
      <c r="A15" s="121" t="s">
        <v>98</v>
      </c>
      <c r="B15" s="93" t="s">
        <v>2401</v>
      </c>
      <c r="C15" s="2330" t="s">
        <v>2400</v>
      </c>
      <c r="D15" s="2330"/>
      <c r="E15" s="1162">
        <f>ROUND(PnC10_Zn035*Belarus*(1-B92),2)</f>
        <v>214</v>
      </c>
      <c r="F15" s="1162">
        <f>ROUND(PnC10_Zn04*Belarus*(1-C92),2)</f>
        <v>232</v>
      </c>
      <c r="G15" s="1162">
        <f>ROUND(PnC10_Zn045*Belarus*(1-D92),2)</f>
        <v>263</v>
      </c>
      <c r="H15" s="1162">
        <f>ROUND(PnC10_Zn05*Belarus*(1-E92),2)</f>
        <v>286</v>
      </c>
      <c r="I15" s="1162">
        <f>ROUND(PnC10_Zn055*Belarus*(1-F92),2)</f>
        <v>328</v>
      </c>
      <c r="J15" s="1162" t="str">
        <f>ROUND(PnC10_Zn07*Belarus*(1-G92),2)&amp;" СПБ"</f>
        <v>401 СПБ</v>
      </c>
      <c r="K15" s="1162" t="s">
        <v>369</v>
      </c>
      <c r="L15" s="1162" t="s">
        <v>369</v>
      </c>
    </row>
    <row r="16" spans="1:12" s="52" customFormat="1">
      <c r="A16" s="102" t="s">
        <v>2402</v>
      </c>
      <c r="B16" s="89" t="s">
        <v>2401</v>
      </c>
      <c r="C16" s="1292" t="s">
        <v>2403</v>
      </c>
      <c r="D16" s="1292"/>
      <c r="E16" s="1162" t="s">
        <v>369</v>
      </c>
      <c r="F16" s="1162" t="s">
        <v>369</v>
      </c>
      <c r="G16" s="1162">
        <f>ROUND(PnC10f_Zn045*Belarus*(1-D92),2)</f>
        <v>318</v>
      </c>
      <c r="H16" s="1162">
        <f>ROUND(PnC10f_Zn05*Belarus*(1-E92),2)</f>
        <v>341</v>
      </c>
      <c r="I16" s="1162" t="s">
        <v>369</v>
      </c>
      <c r="J16" s="1162" t="s">
        <v>369</v>
      </c>
      <c r="K16" s="1162" t="s">
        <v>369</v>
      </c>
      <c r="L16" s="1162" t="s">
        <v>369</v>
      </c>
    </row>
    <row r="17" spans="1:12" s="52" customFormat="1" ht="25.5">
      <c r="A17" s="121" t="s">
        <v>102</v>
      </c>
      <c r="B17" s="443" t="s">
        <v>553</v>
      </c>
      <c r="C17" s="2330" t="s">
        <v>2400</v>
      </c>
      <c r="D17" s="2330"/>
      <c r="E17" s="1162">
        <f>ROUND(PnC20_Zn035*Belarus*(1-B92),2)</f>
        <v>217</v>
      </c>
      <c r="F17" s="1162">
        <f>ROUND(PnC20_Zn04*Belarus*(1-C92),2)</f>
        <v>236</v>
      </c>
      <c r="G17" s="1162">
        <f>ROUND(PnC20_Zn045*Belarus*(1-D92),2)</f>
        <v>268</v>
      </c>
      <c r="H17" s="1162">
        <f>ROUND(PnC20_Zn05*Belarus*(1-E92),2)</f>
        <v>291</v>
      </c>
      <c r="I17" s="1162">
        <f>ROUND(PnC20_Zn055*Belarus*(1-F92),2)</f>
        <v>335</v>
      </c>
      <c r="J17" s="1162">
        <f>ROUND(PnC20_Zn07*Belarus*(1-G92),2)</f>
        <v>409</v>
      </c>
      <c r="K17" s="1162" t="s">
        <v>369</v>
      </c>
      <c r="L17" s="1162" t="s">
        <v>369</v>
      </c>
    </row>
    <row r="18" spans="1:12" s="52" customFormat="1">
      <c r="A18" s="102" t="s">
        <v>106</v>
      </c>
      <c r="B18" s="89" t="s">
        <v>2404</v>
      </c>
      <c r="C18" s="1292" t="s">
        <v>2405</v>
      </c>
      <c r="D18" s="1292"/>
      <c r="E18" s="1162">
        <f>ROUND(PnC21_Zn035*Belarus*(1-B92),2)</f>
        <v>237</v>
      </c>
      <c r="F18" s="1162">
        <f>ROUND(PnC21_Zn04*Belarus*(1-C92),2)</f>
        <v>258</v>
      </c>
      <c r="G18" s="1162">
        <f>ROUND(PnC21_Zn045*Belarus*(1-D92),2)</f>
        <v>293</v>
      </c>
      <c r="H18" s="1162">
        <f>ROUND(PnC21_Zn05*Belarus*(1-E92),2)</f>
        <v>319</v>
      </c>
      <c r="I18" s="1162">
        <f>ROUND(PnC21_Zn055*Belarus*(1-F92),2)</f>
        <v>367</v>
      </c>
      <c r="J18" s="1162">
        <f>ROUND(PnC21_Zn07*Belarus*(1-G92),2)</f>
        <v>448</v>
      </c>
      <c r="K18" s="1162" t="s">
        <v>369</v>
      </c>
      <c r="L18" s="1162" t="s">
        <v>369</v>
      </c>
    </row>
    <row r="19" spans="1:12" s="52" customFormat="1">
      <c r="A19" s="121" t="s">
        <v>110</v>
      </c>
      <c r="B19" s="93" t="s">
        <v>2406</v>
      </c>
      <c r="C19" s="2330" t="s">
        <v>2405</v>
      </c>
      <c r="D19" s="2330"/>
      <c r="E19" s="1162" t="s">
        <v>369</v>
      </c>
      <c r="F19" s="1162" t="s">
        <v>394</v>
      </c>
      <c r="G19" s="1162" t="str">
        <f>ROUND(PnHC35_Zn045*Belarus*(1-D92),2)&amp;" СПБ,НН"</f>
        <v>292 СПБ,НН</v>
      </c>
      <c r="H19" s="1162">
        <f>ROUND(PnHC35_Zn05*Belarus*(1-E92),2)</f>
        <v>318</v>
      </c>
      <c r="I19" s="1162">
        <f>ROUND(PnHC35_Zn055*Belarus*(1-F92),2)</f>
        <v>366</v>
      </c>
      <c r="J19" s="1162">
        <f>ROUND(PnHC35_Zn07*Belarus*(1-G92),2)</f>
        <v>447</v>
      </c>
      <c r="K19" s="1162">
        <f>ROUND(PnHC35_Zn08*Belarus*(1-H92),2)</f>
        <v>506</v>
      </c>
      <c r="L19" s="1162" t="s">
        <v>369</v>
      </c>
    </row>
    <row r="20" spans="1:12" s="52" customFormat="1">
      <c r="A20" s="102" t="s">
        <v>113</v>
      </c>
      <c r="B20" s="89" t="s">
        <v>2407</v>
      </c>
      <c r="C20" s="1292" t="s">
        <v>2405</v>
      </c>
      <c r="D20" s="1292"/>
      <c r="E20" s="1162" t="s">
        <v>369</v>
      </c>
      <c r="F20" s="1162" t="s">
        <v>394</v>
      </c>
      <c r="G20" s="1162" t="s">
        <v>369</v>
      </c>
      <c r="H20" s="1162">
        <f>ROUND(PnH60_Zn05*Belarus*(1-E92),2)</f>
        <v>371</v>
      </c>
      <c r="I20" s="1162">
        <f>ROUND(PnH60_Zn055*Belarus*(1-F92),2)</f>
        <v>427</v>
      </c>
      <c r="J20" s="1162">
        <f>ROUND(PnH60_Zn07*Belarus*(1-G92),2)</f>
        <v>522</v>
      </c>
      <c r="K20" s="1162">
        <f>ROUND(PnH60_Zn08*Belarus*(1-H92),2)</f>
        <v>589</v>
      </c>
      <c r="L20" s="1162">
        <f>ROUND(PnH60_Zn09*Belarus*(1-I92),2)</f>
        <v>657</v>
      </c>
    </row>
    <row r="21" spans="1:12" s="52" customFormat="1">
      <c r="A21" s="121" t="s">
        <v>117</v>
      </c>
      <c r="B21" s="93" t="s">
        <v>2408</v>
      </c>
      <c r="C21" s="2330" t="s">
        <v>2405</v>
      </c>
      <c r="D21" s="2330"/>
      <c r="E21" s="1162" t="s">
        <v>369</v>
      </c>
      <c r="F21" s="1162" t="s">
        <v>394</v>
      </c>
      <c r="G21" s="1162" t="s">
        <v>394</v>
      </c>
      <c r="H21" s="1162" t="s">
        <v>394</v>
      </c>
      <c r="I21" s="1162" t="s">
        <v>369</v>
      </c>
      <c r="J21" s="1162">
        <f>ROUND(PnH75_Zn07*Belarus*(1-G92),2)</f>
        <v>588</v>
      </c>
      <c r="K21" s="1162">
        <f>ROUND(PnH75_Zn08*Belarus*(1-H92),2)</f>
        <v>664</v>
      </c>
      <c r="L21" s="1162">
        <f>ROUND(PnH75_Zn09*Belarus*(1-I92),2)</f>
        <v>741</v>
      </c>
    </row>
    <row r="22" spans="1:12" s="52" customFormat="1">
      <c r="A22" s="801" t="s">
        <v>2409</v>
      </c>
      <c r="B22" s="802"/>
      <c r="C22" s="802"/>
      <c r="D22" s="802"/>
      <c r="E22" s="802"/>
      <c r="F22" s="802"/>
      <c r="G22" s="802"/>
      <c r="H22" s="802"/>
      <c r="I22" s="802"/>
      <c r="J22" s="802"/>
      <c r="K22" s="802"/>
      <c r="L22" s="803"/>
    </row>
    <row r="23" spans="1:12" s="52" customFormat="1">
      <c r="A23" s="121" t="s">
        <v>2410</v>
      </c>
      <c r="B23" s="93" t="s">
        <v>2411</v>
      </c>
      <c r="C23" s="2330" t="s">
        <v>2412</v>
      </c>
      <c r="D23" s="2330"/>
      <c r="E23" s="1162">
        <f>ROUND(List_Zn035*Belarus*(1-B93),2)</f>
        <v>199</v>
      </c>
      <c r="F23" s="1162">
        <f>ROUND(List_Zn04*Belarus*(1-C93),2)</f>
        <v>217</v>
      </c>
      <c r="G23" s="1162">
        <f>ROUND(List_Zn045*Belarus*(1-D93),2)</f>
        <v>247</v>
      </c>
      <c r="H23" s="1162">
        <f>ROUND(List_Zn05*Belarus*(1-E93),2)</f>
        <v>268</v>
      </c>
      <c r="I23" s="1162">
        <f>ROUND(List_Zn055*Belarus*(1-F93),2)</f>
        <v>308</v>
      </c>
      <c r="J23" s="1162">
        <f>ROUND(List_Zn07*Belarus*(1-G93),2)</f>
        <v>377</v>
      </c>
      <c r="K23" s="1162">
        <f>ROUND(List_Zn08*Belarus*(1-H93),2)</f>
        <v>425</v>
      </c>
      <c r="L23" s="1162">
        <f>ROUND(List_Zn09*Belarus*(1-I93),2)</f>
        <v>474</v>
      </c>
    </row>
    <row r="24" spans="1:12" s="52" customFormat="1">
      <c r="A24" s="2033" t="s">
        <v>575</v>
      </c>
      <c r="B24" s="2033"/>
      <c r="C24" s="2033"/>
      <c r="D24" s="2033"/>
      <c r="E24" s="2033"/>
      <c r="F24" s="2033"/>
      <c r="G24" s="1398"/>
      <c r="H24" s="1398"/>
      <c r="I24" s="1398"/>
      <c r="J24" s="1398"/>
      <c r="K24" s="1398"/>
      <c r="L24" s="1398"/>
    </row>
    <row r="25" spans="1:12" s="52" customFormat="1" ht="21" customHeight="1">
      <c r="A25" s="2214" t="s">
        <v>2413</v>
      </c>
      <c r="B25" s="1615"/>
      <c r="C25" s="1615"/>
      <c r="D25" s="1615"/>
      <c r="E25" s="1615"/>
      <c r="F25" s="2215"/>
      <c r="G25" s="1552">
        <f>160*Belarus</f>
        <v>160</v>
      </c>
      <c r="H25" s="1553"/>
      <c r="I25" s="1553"/>
      <c r="J25" s="1553"/>
      <c r="K25" s="1553"/>
      <c r="L25" s="1554"/>
    </row>
    <row r="26" spans="1:12" s="52" customFormat="1">
      <c r="A26" s="2216" t="s">
        <v>2414</v>
      </c>
      <c r="B26" s="2217"/>
      <c r="C26" s="2217"/>
      <c r="D26" s="2217"/>
      <c r="E26" s="2217"/>
      <c r="F26" s="2218"/>
      <c r="G26" s="1555"/>
      <c r="H26" s="1556"/>
      <c r="I26" s="1556"/>
      <c r="J26" s="1556"/>
      <c r="K26" s="1556"/>
      <c r="L26" s="1557"/>
    </row>
    <row r="27" spans="1:12" s="52" customFormat="1">
      <c r="A27" s="1452" t="s">
        <v>2415</v>
      </c>
      <c r="B27" s="1477"/>
      <c r="C27" s="1477"/>
      <c r="D27" s="1477"/>
      <c r="E27" s="1477"/>
      <c r="F27" s="1477"/>
      <c r="G27" s="1477"/>
      <c r="H27" s="1477"/>
      <c r="I27" s="1477"/>
      <c r="J27" s="1477"/>
      <c r="K27" s="1477"/>
      <c r="L27" s="1478"/>
    </row>
    <row r="28" spans="1:12" s="52" customFormat="1" ht="25.5" customHeight="1">
      <c r="A28" s="2326" t="s">
        <v>897</v>
      </c>
      <c r="B28" s="2327"/>
      <c r="C28" s="2033" t="s">
        <v>2416</v>
      </c>
      <c r="D28" s="1398" t="s">
        <v>758</v>
      </c>
      <c r="E28" s="1398"/>
      <c r="F28" s="1398" t="s">
        <v>897</v>
      </c>
      <c r="G28" s="1398"/>
      <c r="H28" s="1398"/>
      <c r="I28" s="1398"/>
      <c r="J28" s="2326" t="s">
        <v>2416</v>
      </c>
      <c r="K28" s="1398" t="s">
        <v>758</v>
      </c>
      <c r="L28" s="1398"/>
    </row>
    <row r="29" spans="1:12" s="52" customFormat="1">
      <c r="A29" s="2328"/>
      <c r="B29" s="2329"/>
      <c r="C29" s="2034"/>
      <c r="D29" s="126" t="s">
        <v>2417</v>
      </c>
      <c r="E29" s="126">
        <v>0.7</v>
      </c>
      <c r="F29" s="1398"/>
      <c r="G29" s="1398"/>
      <c r="H29" s="1398"/>
      <c r="I29" s="1398"/>
      <c r="J29" s="2328"/>
      <c r="K29" s="126" t="s">
        <v>2417</v>
      </c>
      <c r="L29" s="126">
        <v>0.7</v>
      </c>
    </row>
    <row r="30" spans="1:12" s="52" customFormat="1" ht="12.75" customHeight="1">
      <c r="A30" s="1398" t="s">
        <v>2418</v>
      </c>
      <c r="B30" s="1398"/>
      <c r="C30" s="1398"/>
      <c r="D30" s="1398"/>
      <c r="E30" s="1398"/>
      <c r="F30" s="801" t="s">
        <v>2419</v>
      </c>
      <c r="G30" s="802"/>
      <c r="H30" s="802"/>
      <c r="I30" s="802"/>
      <c r="J30" s="802"/>
      <c r="K30" s="802"/>
      <c r="L30" s="803"/>
    </row>
    <row r="31" spans="1:12" s="52" customFormat="1">
      <c r="A31" s="444" t="s">
        <v>2420</v>
      </c>
      <c r="B31" s="445"/>
      <c r="C31" s="169">
        <v>416</v>
      </c>
      <c r="D31" s="87" t="s">
        <v>369</v>
      </c>
      <c r="E31" s="87" t="s">
        <v>369</v>
      </c>
      <c r="F31" s="1406" t="s">
        <v>2421</v>
      </c>
      <c r="G31" s="1407"/>
      <c r="H31" s="1407"/>
      <c r="I31" s="1408"/>
      <c r="J31" s="90">
        <v>145</v>
      </c>
      <c r="K31" s="180">
        <f>ROUND(132*Belarus*(1-B94),2)</f>
        <v>132</v>
      </c>
      <c r="L31" s="180">
        <f>ROUND(177*Belarus*(1-B94),2)</f>
        <v>177</v>
      </c>
    </row>
    <row r="32" spans="1:12" s="52" customFormat="1" ht="12.75" customHeight="1">
      <c r="A32" s="446" t="s">
        <v>2422</v>
      </c>
      <c r="B32" s="447"/>
      <c r="C32" s="169">
        <v>313</v>
      </c>
      <c r="D32" s="87" t="s">
        <v>369</v>
      </c>
      <c r="E32" s="87" t="s">
        <v>369</v>
      </c>
      <c r="F32" s="801" t="s">
        <v>2423</v>
      </c>
      <c r="G32" s="802"/>
      <c r="H32" s="802"/>
      <c r="I32" s="802"/>
      <c r="J32" s="802"/>
      <c r="K32" s="802"/>
      <c r="L32" s="803"/>
    </row>
    <row r="33" spans="1:12" s="52" customFormat="1">
      <c r="A33" s="1421" t="s">
        <v>633</v>
      </c>
      <c r="B33" s="448" t="s">
        <v>634</v>
      </c>
      <c r="C33" s="169">
        <v>312</v>
      </c>
      <c r="D33" s="87">
        <f>ROUND(249*Belarus*(1-B94),2)</f>
        <v>249</v>
      </c>
      <c r="E33" s="87">
        <f>ROUND(340*Belarus*(1-B94),2)</f>
        <v>340</v>
      </c>
      <c r="F33" s="1406" t="s">
        <v>441</v>
      </c>
      <c r="G33" s="1407"/>
      <c r="H33" s="1407"/>
      <c r="I33" s="1408"/>
      <c r="J33" s="158">
        <v>80</v>
      </c>
      <c r="K33" s="87">
        <f>ROUND(76*Belarus*(1-B94),2)</f>
        <v>76</v>
      </c>
      <c r="L33" s="180">
        <f>ROUND(102*Belarus*(1-B94),2)</f>
        <v>102</v>
      </c>
    </row>
    <row r="34" spans="1:12" s="52" customFormat="1">
      <c r="A34" s="1421"/>
      <c r="B34" s="449" t="s">
        <v>635</v>
      </c>
      <c r="C34" s="169">
        <v>312</v>
      </c>
      <c r="D34" s="87">
        <f>ROUND(249*Belarus*(1-B94),2)</f>
        <v>249</v>
      </c>
      <c r="E34" s="87">
        <f>ROUND(340*Belarus*(1-B94),2)</f>
        <v>340</v>
      </c>
      <c r="F34" s="1406" t="s">
        <v>444</v>
      </c>
      <c r="G34" s="1407"/>
      <c r="H34" s="1407"/>
      <c r="I34" s="1408"/>
      <c r="J34" s="90">
        <v>89</v>
      </c>
      <c r="K34" s="87">
        <f>ROUND(82*Belarus*(1-B94),2)</f>
        <v>82</v>
      </c>
      <c r="L34" s="180">
        <f>ROUND(108*Belarus*(1-B94),2)</f>
        <v>108</v>
      </c>
    </row>
    <row r="35" spans="1:12" s="52" customFormat="1" ht="12.75" customHeight="1">
      <c r="A35" s="1421"/>
      <c r="B35" s="449" t="s">
        <v>636</v>
      </c>
      <c r="C35" s="169">
        <v>416</v>
      </c>
      <c r="D35" s="87">
        <f>ROUND(327*Belarus*(1-B94),2)</f>
        <v>327</v>
      </c>
      <c r="E35" s="87">
        <f>ROUND(449*Belarus*(1-B94),2)</f>
        <v>449</v>
      </c>
      <c r="F35" s="801" t="s">
        <v>2424</v>
      </c>
      <c r="G35" s="802"/>
      <c r="H35" s="802"/>
      <c r="I35" s="802"/>
      <c r="J35" s="802"/>
      <c r="K35" s="802"/>
      <c r="L35" s="803"/>
    </row>
    <row r="36" spans="1:12" s="52" customFormat="1" ht="12.75" customHeight="1">
      <c r="A36" s="1421"/>
      <c r="B36" s="449" t="s">
        <v>637</v>
      </c>
      <c r="C36" s="169">
        <v>416</v>
      </c>
      <c r="D36" s="87">
        <f>ROUND(327*Belarus*(1-B94),2)</f>
        <v>327</v>
      </c>
      <c r="E36" s="87">
        <f>ROUND(449*Belarus*(1-B94),2)</f>
        <v>449</v>
      </c>
      <c r="F36" s="1406" t="s">
        <v>2425</v>
      </c>
      <c r="G36" s="1407"/>
      <c r="H36" s="1407"/>
      <c r="I36" s="1408"/>
      <c r="J36" s="158">
        <v>108</v>
      </c>
      <c r="K36" s="87">
        <f>ROUND(100*Belarus*(1-B94),2)</f>
        <v>100</v>
      </c>
      <c r="L36" s="87">
        <f>ROUND(133*Belarus*(1-B94),2)</f>
        <v>133</v>
      </c>
    </row>
    <row r="37" spans="1:12" s="52" customFormat="1" ht="12.75" customHeight="1">
      <c r="A37" s="1409" t="s">
        <v>638</v>
      </c>
      <c r="B37" s="1411"/>
      <c r="C37" s="169">
        <v>380</v>
      </c>
      <c r="D37" s="87">
        <f>ROUND(327*Belarus*(1-B94),2)</f>
        <v>327</v>
      </c>
      <c r="E37" s="87">
        <f>ROUND(449*Belarus*(1-B94),2)</f>
        <v>449</v>
      </c>
      <c r="F37" s="1406" t="s">
        <v>2426</v>
      </c>
      <c r="G37" s="1407"/>
      <c r="H37" s="1407"/>
      <c r="I37" s="1408"/>
      <c r="J37" s="158">
        <v>50</v>
      </c>
      <c r="K37" s="87">
        <f>ROUND(53*Belarus*(1-B94),2)</f>
        <v>53</v>
      </c>
      <c r="L37" s="87">
        <f>ROUND(68*Belarus*(1-B94),2)</f>
        <v>68</v>
      </c>
    </row>
    <row r="38" spans="1:12" s="52" customFormat="1" ht="12.75" customHeight="1">
      <c r="A38" s="1418" t="s">
        <v>646</v>
      </c>
      <c r="B38" s="450" t="s">
        <v>647</v>
      </c>
      <c r="C38" s="169">
        <v>250</v>
      </c>
      <c r="D38" s="87">
        <f>ROUND(202*Belarus*(1-B94),2)</f>
        <v>202</v>
      </c>
      <c r="E38" s="87">
        <f>ROUND(275*Belarus*(1-B94),2)</f>
        <v>275</v>
      </c>
      <c r="F38" s="1406" t="s">
        <v>2427</v>
      </c>
      <c r="G38" s="1407"/>
      <c r="H38" s="1407"/>
      <c r="I38" s="1408"/>
      <c r="J38" s="158">
        <v>125</v>
      </c>
      <c r="K38" s="87">
        <f>ROUND(109*Belarus*(1-B94),2)</f>
        <v>109</v>
      </c>
      <c r="L38" s="87">
        <f>ROUND(145*Belarus*(1-B94),2)</f>
        <v>145</v>
      </c>
    </row>
    <row r="39" spans="1:12" s="52" customFormat="1" ht="12.75" customHeight="1">
      <c r="A39" s="1421"/>
      <c r="B39" s="450" t="s">
        <v>648</v>
      </c>
      <c r="C39" s="169">
        <v>416</v>
      </c>
      <c r="D39" s="87">
        <f>ROUND(327*Belarus*(1-B94),2)</f>
        <v>327</v>
      </c>
      <c r="E39" s="87">
        <f>ROUND(449*Belarus*(1-B94),2)</f>
        <v>449</v>
      </c>
      <c r="F39" s="1406" t="s">
        <v>2428</v>
      </c>
      <c r="G39" s="1407"/>
      <c r="H39" s="1407"/>
      <c r="I39" s="1408"/>
      <c r="J39" s="158">
        <v>208</v>
      </c>
      <c r="K39" s="87">
        <f>ROUND(171*Belarus*(1-B94),2)</f>
        <v>171</v>
      </c>
      <c r="L39" s="87">
        <f>ROUND(231*Belarus*(1-B94),2)</f>
        <v>231</v>
      </c>
    </row>
    <row r="40" spans="1:12" s="52" customFormat="1" ht="12.75" customHeight="1">
      <c r="A40" s="1421"/>
      <c r="B40" s="450" t="s">
        <v>649</v>
      </c>
      <c r="C40" s="169">
        <v>416</v>
      </c>
      <c r="D40" s="87">
        <f>ROUND(327*Belarus*(1-B94),2)</f>
        <v>327</v>
      </c>
      <c r="E40" s="87">
        <f>ROUND(449*Belarus*(1-B94),2)</f>
        <v>449</v>
      </c>
      <c r="F40" s="1406" t="s">
        <v>2429</v>
      </c>
      <c r="G40" s="1407"/>
      <c r="H40" s="1407"/>
      <c r="I40" s="1408"/>
      <c r="J40" s="158">
        <v>125</v>
      </c>
      <c r="K40" s="87">
        <f>ROUND(109*Belarus*(1-B94),2)</f>
        <v>109</v>
      </c>
      <c r="L40" s="87">
        <f>ROUND(145*Belarus*(1-B94),2)</f>
        <v>145</v>
      </c>
    </row>
    <row r="41" spans="1:12" s="52" customFormat="1" ht="12.75" customHeight="1">
      <c r="A41" s="1421"/>
      <c r="B41" s="450" t="s">
        <v>2430</v>
      </c>
      <c r="C41" s="169">
        <v>120</v>
      </c>
      <c r="D41" s="87">
        <f>ROUND(109*Belarus*(1-B94),2)</f>
        <v>109</v>
      </c>
      <c r="E41" s="87">
        <f>ROUND(145*Belarus*(1-B94),2)</f>
        <v>145</v>
      </c>
      <c r="F41" s="1406" t="s">
        <v>2431</v>
      </c>
      <c r="G41" s="1407"/>
      <c r="H41" s="1407"/>
      <c r="I41" s="1408"/>
      <c r="J41" s="158">
        <v>312</v>
      </c>
      <c r="K41" s="87">
        <f>ROUND(249*Belarus*(1-B94),2)</f>
        <v>249</v>
      </c>
      <c r="L41" s="87">
        <f>ROUND(340*Belarus*(1-B94),2)</f>
        <v>340</v>
      </c>
    </row>
    <row r="42" spans="1:12" s="52" customFormat="1" ht="12.75" customHeight="1">
      <c r="A42" s="1424"/>
      <c r="B42" s="450" t="s">
        <v>651</v>
      </c>
      <c r="C42" s="169">
        <v>106</v>
      </c>
      <c r="D42" s="87">
        <f>ROUND(100*Belarus*(1-B94),2)</f>
        <v>100</v>
      </c>
      <c r="E42" s="87">
        <f>ROUND(133*Belarus*(1-B94),2)</f>
        <v>133</v>
      </c>
      <c r="F42" s="1406" t="s">
        <v>2432</v>
      </c>
      <c r="G42" s="1407"/>
      <c r="H42" s="1407"/>
      <c r="I42" s="1408"/>
      <c r="J42" s="158">
        <v>80</v>
      </c>
      <c r="K42" s="87">
        <f>ROUND(76*Belarus*(1-B94),2)</f>
        <v>76</v>
      </c>
      <c r="L42" s="87">
        <f>ROUND(102*Belarus*(1-B94),2)</f>
        <v>102</v>
      </c>
    </row>
    <row r="43" spans="1:12" s="52" customFormat="1" ht="12.75" customHeight="1">
      <c r="A43" s="1418" t="s">
        <v>652</v>
      </c>
      <c r="B43" s="451" t="s">
        <v>634</v>
      </c>
      <c r="C43" s="169">
        <v>312</v>
      </c>
      <c r="D43" s="87">
        <f>ROUND(249*Belarus*(1-B94),2)</f>
        <v>249</v>
      </c>
      <c r="E43" s="87">
        <f>ROUND(340*Belarus*(1-B94),2)</f>
        <v>340</v>
      </c>
      <c r="F43" s="1406" t="s">
        <v>2433</v>
      </c>
      <c r="G43" s="1407"/>
      <c r="H43" s="1407"/>
      <c r="I43" s="1408"/>
      <c r="J43" s="158">
        <v>80</v>
      </c>
      <c r="K43" s="87">
        <f>ROUND(76*Belarus*(1-B94),2)</f>
        <v>76</v>
      </c>
      <c r="L43" s="87">
        <f>ROUND(102*Belarus*(1-B94),2)</f>
        <v>102</v>
      </c>
    </row>
    <row r="44" spans="1:12" s="52" customFormat="1" ht="12.75" customHeight="1">
      <c r="A44" s="2325"/>
      <c r="B44" s="450" t="s">
        <v>635</v>
      </c>
      <c r="C44" s="169">
        <v>312</v>
      </c>
      <c r="D44" s="87">
        <f>ROUND(249*Belarus*(1-B94),2)</f>
        <v>249</v>
      </c>
      <c r="E44" s="87">
        <f>ROUND(340*Belarus*(1-B94),2)</f>
        <v>340</v>
      </c>
      <c r="F44" s="1406" t="s">
        <v>2434</v>
      </c>
      <c r="G44" s="1407"/>
      <c r="H44" s="1407"/>
      <c r="I44" s="1408"/>
      <c r="J44" s="158">
        <v>208</v>
      </c>
      <c r="K44" s="87">
        <f>ROUND(171*Belarus*(1-B94),2)</f>
        <v>171</v>
      </c>
      <c r="L44" s="87">
        <f>ROUND(231*Belarus*(1-B94),2)</f>
        <v>231</v>
      </c>
    </row>
    <row r="45" spans="1:12" s="52" customFormat="1" ht="12.75" customHeight="1">
      <c r="A45" s="182" t="s">
        <v>653</v>
      </c>
      <c r="B45" s="452" t="s">
        <v>654</v>
      </c>
      <c r="C45" s="169">
        <v>625</v>
      </c>
      <c r="D45" s="87">
        <f>ROUND(483*Belarus*(1-B94),2)</f>
        <v>483</v>
      </c>
      <c r="E45" s="87">
        <f>ROUND(666*Belarus*(1-B94),2)</f>
        <v>666</v>
      </c>
      <c r="F45" s="1406" t="s">
        <v>2435</v>
      </c>
      <c r="G45" s="1407"/>
      <c r="H45" s="1407"/>
      <c r="I45" s="1408"/>
      <c r="J45" s="158">
        <v>250</v>
      </c>
      <c r="K45" s="87">
        <f>ROUND(202*Belarus*(1-B94),2)</f>
        <v>202</v>
      </c>
      <c r="L45" s="87">
        <f>ROUND(275*Belarus*(1-B94),2)</f>
        <v>275</v>
      </c>
    </row>
    <row r="46" spans="1:12" s="52" customFormat="1" ht="12.75" customHeight="1">
      <c r="A46" s="1351" t="s">
        <v>655</v>
      </c>
      <c r="B46" s="1351"/>
      <c r="C46" s="90">
        <v>250</v>
      </c>
      <c r="D46" s="87">
        <f>ROUND(202*Belarus*(1-B94),2)</f>
        <v>202</v>
      </c>
      <c r="E46" s="87">
        <f>ROUND(275*Belarus*(1-B94),2)</f>
        <v>275</v>
      </c>
      <c r="F46" s="1406" t="s">
        <v>2436</v>
      </c>
      <c r="G46" s="1407"/>
      <c r="H46" s="1407"/>
      <c r="I46" s="1408"/>
      <c r="J46" s="158">
        <v>80</v>
      </c>
      <c r="K46" s="87">
        <f>ROUND(76*Belarus*(1-B94),2)</f>
        <v>76</v>
      </c>
      <c r="L46" s="87">
        <f>ROUND(102*Belarus*(1-B94),2)</f>
        <v>102</v>
      </c>
    </row>
    <row r="47" spans="1:12" s="52" customFormat="1" ht="12.75" customHeight="1">
      <c r="A47" s="1351" t="s">
        <v>656</v>
      </c>
      <c r="B47" s="1351"/>
      <c r="C47" s="90">
        <v>312</v>
      </c>
      <c r="D47" s="87">
        <f>ROUND(249*Belarus*(1-B94),2)</f>
        <v>249</v>
      </c>
      <c r="E47" s="87">
        <f>ROUND(340*Belarus*(1-B94),2)</f>
        <v>340</v>
      </c>
      <c r="F47" s="1406" t="s">
        <v>2437</v>
      </c>
      <c r="G47" s="1407"/>
      <c r="H47" s="1407"/>
      <c r="I47" s="1408"/>
      <c r="J47" s="158">
        <v>250</v>
      </c>
      <c r="K47" s="87">
        <f>ROUND(202*Belarus*(1-B94),2)</f>
        <v>202</v>
      </c>
      <c r="L47" s="87">
        <f>ROUND(275*Belarus*(1-B94),2)</f>
        <v>275</v>
      </c>
    </row>
    <row r="48" spans="1:12" s="52" customFormat="1" ht="12.75" customHeight="1">
      <c r="A48" s="1351" t="s">
        <v>657</v>
      </c>
      <c r="B48" s="1351"/>
      <c r="C48" s="90">
        <v>175</v>
      </c>
      <c r="D48" s="87">
        <f>ROUND(148*Belarus*(1-B94),2)</f>
        <v>148</v>
      </c>
      <c r="E48" s="87">
        <f>ROUND(200*Belarus*(1-B94),2)</f>
        <v>200</v>
      </c>
      <c r="F48" s="1406" t="s">
        <v>2438</v>
      </c>
      <c r="G48" s="1407"/>
      <c r="H48" s="1407"/>
      <c r="I48" s="1408"/>
      <c r="J48" s="158">
        <v>80</v>
      </c>
      <c r="K48" s="87">
        <f>ROUND(76*Belarus*(1-B94),2)</f>
        <v>76</v>
      </c>
      <c r="L48" s="87">
        <f>ROUND(102*Belarus*(1-B94),2)</f>
        <v>102</v>
      </c>
    </row>
    <row r="49" spans="1:12" s="52" customFormat="1" ht="12.75" customHeight="1">
      <c r="A49" s="1351" t="s">
        <v>658</v>
      </c>
      <c r="B49" s="1351"/>
      <c r="C49" s="90">
        <v>195</v>
      </c>
      <c r="D49" s="87">
        <f>ROUND(171*Belarus*(1-B95),2)</f>
        <v>171</v>
      </c>
      <c r="E49" s="87">
        <f>ROUND(231*Belarus*(1-B94),2)</f>
        <v>231</v>
      </c>
      <c r="F49" s="1406" t="s">
        <v>2439</v>
      </c>
      <c r="G49" s="1407"/>
      <c r="H49" s="1407"/>
      <c r="I49" s="1408"/>
      <c r="J49" s="90">
        <v>312</v>
      </c>
      <c r="K49" s="87">
        <f>ROUND(249*Belarus*(1-B94),2)</f>
        <v>249</v>
      </c>
      <c r="L49" s="87">
        <f>ROUND(340*Belarus*(1-B94),2)</f>
        <v>340</v>
      </c>
    </row>
    <row r="50" spans="1:12" s="52" customFormat="1" ht="12.75" customHeight="1">
      <c r="A50" s="1351" t="s">
        <v>659</v>
      </c>
      <c r="B50" s="1351"/>
      <c r="C50" s="90">
        <v>178</v>
      </c>
      <c r="D50" s="87">
        <f>ROUND(148*Belarus*(1-B94),2)</f>
        <v>148</v>
      </c>
      <c r="E50" s="87">
        <f>ROUND(200*Belarus*(1-B94),2)</f>
        <v>200</v>
      </c>
      <c r="F50" s="1406" t="s">
        <v>2440</v>
      </c>
      <c r="G50" s="1407"/>
      <c r="H50" s="1407"/>
      <c r="I50" s="1408"/>
      <c r="J50" s="158">
        <v>250</v>
      </c>
      <c r="K50" s="87">
        <f>ROUND(202*Belarus*(1-B94),2)</f>
        <v>202</v>
      </c>
      <c r="L50" s="87">
        <f>ROUND(275*Belarus*(1-B94),2)</f>
        <v>275</v>
      </c>
    </row>
    <row r="51" spans="1:12" s="52" customFormat="1" ht="12.75" customHeight="1">
      <c r="A51" s="1351" t="s">
        <v>660</v>
      </c>
      <c r="B51" s="1351"/>
      <c r="C51" s="90">
        <v>250</v>
      </c>
      <c r="D51" s="87">
        <f>ROUND(202*Belarus*(1-B94),2)</f>
        <v>202</v>
      </c>
      <c r="E51" s="87">
        <f>ROUND(275*Belarus*(1-B94),2)</f>
        <v>275</v>
      </c>
      <c r="F51" s="1406" t="s">
        <v>2441</v>
      </c>
      <c r="G51" s="1407"/>
      <c r="H51" s="1407"/>
      <c r="I51" s="1408"/>
      <c r="J51" s="158">
        <v>285</v>
      </c>
      <c r="K51" s="87">
        <f>ROUND(249*Belarus*(1-B94),2)</f>
        <v>249</v>
      </c>
      <c r="L51" s="87">
        <f>ROUND(340*Belarus*(1-B94),2)</f>
        <v>340</v>
      </c>
    </row>
    <row r="52" spans="1:12" s="52" customFormat="1" ht="12.75" customHeight="1">
      <c r="A52" s="1351" t="s">
        <v>661</v>
      </c>
      <c r="B52" s="1351"/>
      <c r="C52" s="90">
        <v>312</v>
      </c>
      <c r="D52" s="87">
        <f>ROUND(249*Belarus*(1-B94),2)</f>
        <v>249</v>
      </c>
      <c r="E52" s="87">
        <f>ROUND(340*Belarus*(1-B94),2)</f>
        <v>340</v>
      </c>
      <c r="F52" s="1406" t="s">
        <v>2442</v>
      </c>
      <c r="G52" s="1407"/>
      <c r="H52" s="1407"/>
      <c r="I52" s="1408"/>
      <c r="J52" s="158">
        <v>312</v>
      </c>
      <c r="K52" s="87">
        <f>ROUND(249*Belarus*(1-B94),2)</f>
        <v>249</v>
      </c>
      <c r="L52" s="87">
        <f>ROUND(340*Belarus*(1-B94),2)</f>
        <v>340</v>
      </c>
    </row>
    <row r="53" spans="1:12" s="52" customFormat="1" ht="12.75" customHeight="1">
      <c r="A53" s="1351" t="s">
        <v>662</v>
      </c>
      <c r="B53" s="1351"/>
      <c r="C53" s="90">
        <v>100</v>
      </c>
      <c r="D53" s="87">
        <f>ROUND(93*Belarus*(1-B94),2)</f>
        <v>93</v>
      </c>
      <c r="E53" s="87">
        <f>ROUND(123*Belarus*(1-B94),2)</f>
        <v>123</v>
      </c>
      <c r="F53" s="1406" t="s">
        <v>2443</v>
      </c>
      <c r="G53" s="1407"/>
      <c r="H53" s="1407"/>
      <c r="I53" s="1408"/>
      <c r="J53" s="90">
        <v>335</v>
      </c>
      <c r="K53" s="87">
        <f>ROUND(327*Belarus*(1-B94),2)</f>
        <v>327</v>
      </c>
      <c r="L53" s="87">
        <f>ROUND(340*Belarus*(1-B94),2)</f>
        <v>340</v>
      </c>
    </row>
    <row r="54" spans="1:12" s="52" customFormat="1" ht="12.75" customHeight="1">
      <c r="A54" s="1351" t="s">
        <v>663</v>
      </c>
      <c r="B54" s="1351"/>
      <c r="C54" s="90">
        <v>124</v>
      </c>
      <c r="D54" s="87">
        <f>ROUND(109*Belarus*(1-B94),2)</f>
        <v>109</v>
      </c>
      <c r="E54" s="87">
        <f>ROUND(145*Belarus*(1-B94),2)</f>
        <v>145</v>
      </c>
      <c r="F54" s="1406" t="s">
        <v>2444</v>
      </c>
      <c r="G54" s="1407"/>
      <c r="H54" s="1407"/>
      <c r="I54" s="1408"/>
      <c r="J54" s="90">
        <v>330</v>
      </c>
      <c r="K54" s="87">
        <f>ROUND(327*Belarus*(1-B94),2)</f>
        <v>327</v>
      </c>
      <c r="L54" s="87">
        <f>ROUND(449*Belarus*(1-B94),2)</f>
        <v>449</v>
      </c>
    </row>
    <row r="55" spans="1:12" s="52" customFormat="1" ht="12.75" customHeight="1">
      <c r="A55" s="801" t="s">
        <v>664</v>
      </c>
      <c r="B55" s="802"/>
      <c r="C55" s="802"/>
      <c r="D55" s="802"/>
      <c r="E55" s="803"/>
      <c r="F55" s="1406" t="s">
        <v>2445</v>
      </c>
      <c r="G55" s="1407"/>
      <c r="H55" s="1407"/>
      <c r="I55" s="1408"/>
      <c r="J55" s="90">
        <v>355</v>
      </c>
      <c r="K55" s="87">
        <f>ROUND(327*Belarus*(1-B94),2)</f>
        <v>327</v>
      </c>
      <c r="L55" s="87">
        <f>ROUND(449*Belarus*(1-B94),2)</f>
        <v>449</v>
      </c>
    </row>
    <row r="56" spans="1:12" s="52" customFormat="1" ht="12.75" customHeight="1">
      <c r="A56" s="1351" t="s">
        <v>6331</v>
      </c>
      <c r="B56" s="1351"/>
      <c r="C56" s="90">
        <v>330</v>
      </c>
      <c r="D56" s="87">
        <f>ROUND(327*Belarus*(1-B94),2)</f>
        <v>327</v>
      </c>
      <c r="E56" s="87">
        <f>ROUND(449*Belarus*(1-B94),2)</f>
        <v>449</v>
      </c>
      <c r="F56" s="1406" t="s">
        <v>2446</v>
      </c>
      <c r="G56" s="1407"/>
      <c r="H56" s="1407"/>
      <c r="I56" s="1408"/>
      <c r="J56" s="90">
        <v>380</v>
      </c>
      <c r="K56" s="87">
        <f>ROUND(327*Belarus*(1-B94),2)</f>
        <v>327</v>
      </c>
      <c r="L56" s="87">
        <f>ROUND(449*Belarus*(1-B94),2)</f>
        <v>449</v>
      </c>
    </row>
    <row r="57" spans="1:12" s="52" customFormat="1" ht="12.75" customHeight="1">
      <c r="A57" s="1351" t="s">
        <v>6332</v>
      </c>
      <c r="B57" s="1351"/>
      <c r="C57" s="90">
        <v>380</v>
      </c>
      <c r="D57" s="87">
        <f>ROUND(327*Belarus*(1-B94),2)</f>
        <v>327</v>
      </c>
      <c r="E57" s="87">
        <f>ROUND(449*Belarus*(1-B94),2)</f>
        <v>449</v>
      </c>
      <c r="F57" s="1406" t="s">
        <v>2447</v>
      </c>
      <c r="G57" s="1407"/>
      <c r="H57" s="1407"/>
      <c r="I57" s="1408"/>
      <c r="J57" s="90">
        <v>416</v>
      </c>
      <c r="K57" s="87">
        <f>ROUND(327*Belarus*(1-B94),2)</f>
        <v>327</v>
      </c>
      <c r="L57" s="87">
        <f>ROUND(449*Belarus*(1-B94),2)</f>
        <v>449</v>
      </c>
    </row>
    <row r="58" spans="1:12" s="52" customFormat="1" ht="12.75" customHeight="1">
      <c r="A58" s="1351" t="s">
        <v>660</v>
      </c>
      <c r="B58" s="1351"/>
      <c r="C58" s="90">
        <v>250</v>
      </c>
      <c r="D58" s="87">
        <f>ROUND(202*Belarus*(1-B94),2)</f>
        <v>202</v>
      </c>
      <c r="E58" s="87">
        <f>ROUND(275*Belarus*(1-B94),2)</f>
        <v>275</v>
      </c>
      <c r="F58" s="1406" t="s">
        <v>2448</v>
      </c>
      <c r="G58" s="1407"/>
      <c r="H58" s="1407"/>
      <c r="I58" s="1408"/>
      <c r="J58" s="90">
        <v>110</v>
      </c>
      <c r="K58" s="87">
        <f>ROUND(100*Belarus*(1-B94),2)</f>
        <v>100</v>
      </c>
      <c r="L58" s="87">
        <f>ROUND(133*Belarus*(1-B94),2)</f>
        <v>133</v>
      </c>
    </row>
    <row r="59" spans="1:12" s="52" customFormat="1" ht="12.75" customHeight="1">
      <c r="A59" s="1351" t="s">
        <v>4079</v>
      </c>
      <c r="B59" s="1351"/>
      <c r="C59" s="90">
        <v>89</v>
      </c>
      <c r="D59" s="87">
        <f>ROUND(82*Belarus*(1-B94),2)</f>
        <v>82</v>
      </c>
      <c r="E59" s="87">
        <f>ROUND(108*Belarus*(1-B94),2)</f>
        <v>108</v>
      </c>
      <c r="F59" s="115" t="s">
        <v>2449</v>
      </c>
      <c r="G59" s="116"/>
      <c r="H59" s="116"/>
      <c r="I59" s="117"/>
      <c r="J59" s="90">
        <v>160</v>
      </c>
      <c r="K59" s="87">
        <f>ROUND(148*Belarus*(1-B94),2)</f>
        <v>148</v>
      </c>
      <c r="L59" s="87">
        <f>ROUND(200*Belarus*(1-B94),2)</f>
        <v>200</v>
      </c>
    </row>
    <row r="60" spans="1:12" s="52" customFormat="1" ht="12.75" customHeight="1">
      <c r="A60" s="1351" t="s">
        <v>4080</v>
      </c>
      <c r="B60" s="1351"/>
      <c r="C60" s="90">
        <v>83</v>
      </c>
      <c r="D60" s="87">
        <f>ROUND(76*Belarus*(1-B94),2)</f>
        <v>76</v>
      </c>
      <c r="E60" s="87">
        <f>ROUND(102*Belarus*(1-B94),2)</f>
        <v>102</v>
      </c>
      <c r="F60" s="115" t="s">
        <v>2450</v>
      </c>
      <c r="G60" s="116"/>
      <c r="H60" s="116"/>
      <c r="I60" s="117"/>
      <c r="J60" s="90">
        <v>210</v>
      </c>
      <c r="K60" s="87">
        <f>ROUND(202*Belarus*(1-B94),2)</f>
        <v>202</v>
      </c>
      <c r="L60" s="87">
        <f>ROUND(275*Belarus*(1-B94),2)</f>
        <v>275</v>
      </c>
    </row>
    <row r="61" spans="1:12" s="52" customFormat="1" ht="12.75" customHeight="1">
      <c r="A61" s="1351" t="s">
        <v>2451</v>
      </c>
      <c r="B61" s="1351"/>
      <c r="C61" s="90">
        <v>83</v>
      </c>
      <c r="D61" s="87">
        <f>ROUND(76*Belarus*(1-B94),2)</f>
        <v>76</v>
      </c>
      <c r="E61" s="87">
        <f>ROUND(102*Belarus*(1-B94),2)</f>
        <v>102</v>
      </c>
      <c r="F61" s="115" t="s">
        <v>2452</v>
      </c>
      <c r="G61" s="116"/>
      <c r="H61" s="116"/>
      <c r="I61" s="117"/>
      <c r="J61" s="90">
        <v>260</v>
      </c>
      <c r="K61" s="87">
        <f>ROUND(249*Belarus*(1-B94),2)</f>
        <v>249</v>
      </c>
      <c r="L61" s="87">
        <f>ROUND(340*Belarus*(1-B94),2)</f>
        <v>340</v>
      </c>
    </row>
    <row r="62" spans="1:12" s="52" customFormat="1" ht="12.75" customHeight="1">
      <c r="A62" s="801" t="s">
        <v>756</v>
      </c>
      <c r="B62" s="802"/>
      <c r="C62" s="802"/>
      <c r="D62" s="802"/>
      <c r="E62" s="803"/>
      <c r="F62" s="1406" t="s">
        <v>2453</v>
      </c>
      <c r="G62" s="1407"/>
      <c r="H62" s="1407"/>
      <c r="I62" s="1408"/>
      <c r="J62" s="90">
        <v>312</v>
      </c>
      <c r="K62" s="87">
        <f>ROUND(249*Belarus*(1-B94),2)</f>
        <v>249</v>
      </c>
      <c r="L62" s="87">
        <f>ROUND(340*Belarus*(1-B94),2)</f>
        <v>340</v>
      </c>
    </row>
    <row r="63" spans="1:12" s="52" customFormat="1" ht="12.75" customHeight="1">
      <c r="A63" s="1351" t="s">
        <v>760</v>
      </c>
      <c r="B63" s="1351"/>
      <c r="C63" s="90">
        <v>312</v>
      </c>
      <c r="D63" s="87">
        <f>ROUND(249*Belarus*(1-B94),2)</f>
        <v>249</v>
      </c>
      <c r="E63" s="87">
        <f>ROUND(340*Belarus*(1-B94),2)</f>
        <v>340</v>
      </c>
      <c r="F63" s="1327" t="s">
        <v>4079</v>
      </c>
      <c r="G63" s="1328"/>
      <c r="H63" s="1328"/>
      <c r="I63" s="1329"/>
      <c r="J63" s="90">
        <v>89</v>
      </c>
      <c r="K63" s="87">
        <f>ROUND(82*Belarus*(1-B94),2)</f>
        <v>82</v>
      </c>
      <c r="L63" s="87">
        <f>ROUND(108*Belarus*(1-B94),2)</f>
        <v>108</v>
      </c>
    </row>
    <row r="64" spans="1:12" s="52" customFormat="1" ht="12.75" customHeight="1">
      <c r="A64" s="1351" t="s">
        <v>762</v>
      </c>
      <c r="B64" s="1351"/>
      <c r="C64" s="90">
        <v>250</v>
      </c>
      <c r="D64" s="87">
        <f>ROUND(202*Belarus*(1-B94),2)</f>
        <v>202</v>
      </c>
      <c r="E64" s="87">
        <f>ROUND(275*Belarus*(1-B94),2)</f>
        <v>275</v>
      </c>
      <c r="F64" s="1327" t="s">
        <v>4080</v>
      </c>
      <c r="G64" s="1328"/>
      <c r="H64" s="1328"/>
      <c r="I64" s="1329"/>
      <c r="J64" s="90">
        <v>83</v>
      </c>
      <c r="K64" s="87">
        <f>ROUND(76*Belarus*(1-B94),2)</f>
        <v>76</v>
      </c>
      <c r="L64" s="87">
        <f>ROUND(102*Belarus*(1-B94),2)</f>
        <v>102</v>
      </c>
    </row>
    <row r="65" spans="1:12" s="52" customFormat="1" ht="12.75" customHeight="1">
      <c r="A65" s="1409" t="s">
        <v>763</v>
      </c>
      <c r="B65" s="1411"/>
      <c r="C65" s="90">
        <v>96</v>
      </c>
      <c r="D65" s="87">
        <f>ROUND(87*Belarus*(1-B94),2)</f>
        <v>87</v>
      </c>
      <c r="E65" s="87">
        <f>ROUND(115*Belarus*(1-B94),2)</f>
        <v>115</v>
      </c>
      <c r="F65" s="804" t="s">
        <v>2454</v>
      </c>
      <c r="G65" s="805"/>
      <c r="H65" s="805"/>
      <c r="I65" s="805"/>
      <c r="J65" s="805"/>
      <c r="K65" s="805"/>
      <c r="L65" s="806"/>
    </row>
    <row r="66" spans="1:12" s="52" customFormat="1" ht="12.75" customHeight="1">
      <c r="A66" s="1409" t="s">
        <v>765</v>
      </c>
      <c r="B66" s="1411"/>
      <c r="C66" s="90">
        <v>225</v>
      </c>
      <c r="D66" s="87">
        <f>ROUND(202*Belarus*(1-B94),2)</f>
        <v>202</v>
      </c>
      <c r="E66" s="87">
        <f>ROUND(275*Belarus*(1-B94),2)</f>
        <v>275</v>
      </c>
      <c r="F66" s="1406" t="s">
        <v>4081</v>
      </c>
      <c r="G66" s="1407"/>
      <c r="H66" s="1407"/>
      <c r="I66" s="1408"/>
      <c r="J66" s="90">
        <v>233</v>
      </c>
      <c r="K66" s="87">
        <f>ROUND(202*Belarus*(1-B94),2)</f>
        <v>202</v>
      </c>
      <c r="L66" s="87">
        <f>ROUND(275*Belarus*(1-B94),2)</f>
        <v>275</v>
      </c>
    </row>
    <row r="67" spans="1:12" s="52" customFormat="1" ht="12.75" customHeight="1">
      <c r="A67" s="1409" t="s">
        <v>2455</v>
      </c>
      <c r="B67" s="1411"/>
      <c r="C67" s="90">
        <v>250</v>
      </c>
      <c r="D67" s="87">
        <f>ROUND(202*Belarus*(1-B94),2)</f>
        <v>202</v>
      </c>
      <c r="E67" s="87">
        <f>ROUND(275*Belarus*(1-B94),2)</f>
        <v>275</v>
      </c>
      <c r="F67" s="1406" t="s">
        <v>4082</v>
      </c>
      <c r="G67" s="1407"/>
      <c r="H67" s="1407"/>
      <c r="I67" s="1408"/>
      <c r="J67" s="90">
        <v>400</v>
      </c>
      <c r="K67" s="87">
        <f>ROUND(327*Belarus*(1-B94),2)</f>
        <v>327</v>
      </c>
      <c r="L67" s="87">
        <f>ROUND(449*Belarus*(1-B94),2)</f>
        <v>449</v>
      </c>
    </row>
    <row r="68" spans="1:12" s="52" customFormat="1" ht="12.75" customHeight="1">
      <c r="A68" s="1491" t="s">
        <v>2456</v>
      </c>
      <c r="B68" s="1491"/>
      <c r="C68" s="1491"/>
      <c r="D68" s="1491" t="s">
        <v>769</v>
      </c>
      <c r="E68" s="1491"/>
      <c r="F68" s="1406" t="s">
        <v>4083</v>
      </c>
      <c r="G68" s="1407"/>
      <c r="H68" s="1407"/>
      <c r="I68" s="1408"/>
      <c r="J68" s="90">
        <v>210</v>
      </c>
      <c r="K68" s="87">
        <f>ROUND(202*Belarus*(1-B94),2)</f>
        <v>202</v>
      </c>
      <c r="L68" s="87">
        <f>ROUND(275*Belarus*(1-B94),2)</f>
        <v>275</v>
      </c>
    </row>
    <row r="69" spans="1:12" s="52" customFormat="1" ht="12.75" customHeight="1">
      <c r="A69" s="1351" t="s">
        <v>774</v>
      </c>
      <c r="B69" s="1351"/>
      <c r="C69" s="1351"/>
      <c r="D69" s="1514">
        <f>ROUND(15*Belarus*(1-B96),2)</f>
        <v>15</v>
      </c>
      <c r="E69" s="1516"/>
      <c r="F69" s="1406" t="s">
        <v>4084</v>
      </c>
      <c r="G69" s="1407"/>
      <c r="H69" s="1407"/>
      <c r="I69" s="1408"/>
      <c r="J69" s="90">
        <v>210</v>
      </c>
      <c r="K69" s="87">
        <f>ROUND(202*Belarus*(1-B94),2)</f>
        <v>202</v>
      </c>
      <c r="L69" s="87">
        <f>ROUND(275*Belarus*(1-B94),2)</f>
        <v>275</v>
      </c>
    </row>
    <row r="70" spans="1:12" s="52" customFormat="1" ht="12.75" customHeight="1">
      <c r="A70" s="1351" t="s">
        <v>776</v>
      </c>
      <c r="B70" s="1351"/>
      <c r="C70" s="1351"/>
      <c r="D70" s="1514">
        <f>ROUND(29*Belarus*(1-B96),2)</f>
        <v>29</v>
      </c>
      <c r="E70" s="1516"/>
      <c r="F70" s="1406" t="s">
        <v>4085</v>
      </c>
      <c r="G70" s="1407"/>
      <c r="H70" s="1407"/>
      <c r="I70" s="1408"/>
      <c r="J70" s="90">
        <v>114</v>
      </c>
      <c r="K70" s="87">
        <f>ROUND(109*Belarus*(1-B94),2)</f>
        <v>109</v>
      </c>
      <c r="L70" s="87">
        <f>ROUND(145*Belarus*(1-B94),2)</f>
        <v>145</v>
      </c>
    </row>
    <row r="71" spans="1:12" s="52" customFormat="1" ht="12.75" customHeight="1">
      <c r="A71" s="1535" t="s">
        <v>420</v>
      </c>
      <c r="B71" s="1733"/>
      <c r="C71" s="1733"/>
      <c r="D71" s="1733"/>
      <c r="E71" s="1536"/>
      <c r="F71" s="1398" t="s">
        <v>2457</v>
      </c>
      <c r="G71" s="1398"/>
      <c r="H71" s="1398"/>
      <c r="I71" s="1398"/>
      <c r="J71" s="1398"/>
      <c r="K71" s="1398"/>
      <c r="L71" s="1398"/>
    </row>
    <row r="72" spans="1:12" s="52" customFormat="1" ht="15" customHeight="1">
      <c r="A72" s="1280" t="s">
        <v>425</v>
      </c>
      <c r="B72" s="1280"/>
      <c r="C72" s="1280"/>
      <c r="D72" s="1280"/>
      <c r="E72" s="1280"/>
      <c r="F72" s="1398" t="s">
        <v>667</v>
      </c>
      <c r="G72" s="1398"/>
      <c r="H72" s="247" t="s">
        <v>2458</v>
      </c>
      <c r="I72" s="247" t="s">
        <v>2459</v>
      </c>
      <c r="J72" s="247" t="s">
        <v>2460</v>
      </c>
      <c r="K72" s="1351" t="s">
        <v>2461</v>
      </c>
      <c r="L72" s="1351"/>
    </row>
    <row r="73" spans="1:12" s="52" customFormat="1">
      <c r="A73" s="1280" t="s">
        <v>2462</v>
      </c>
      <c r="B73" s="1280"/>
      <c r="C73" s="1280"/>
      <c r="D73" s="1280"/>
      <c r="E73" s="1280"/>
      <c r="F73" s="2324">
        <v>100</v>
      </c>
      <c r="G73" s="2324"/>
      <c r="H73" s="1295">
        <f>ROUND($F$73*(IF($F$73&lt;625,1196,1196*1.15)/1000)*Belarus*(1-$B$95),2)</f>
        <v>119.6</v>
      </c>
      <c r="I73" s="1295">
        <f>ROUND($F$73*(IF($F$73&lt;625,1467,1467*1.15)/1000)*Belarus*(1-$B$95),2)</f>
        <v>146.69999999999999</v>
      </c>
      <c r="J73" s="1295">
        <f>ROUND($F$73*(IF($F$73&lt;625,1807,1807*1.15)/1000)*Belarus*(1-$B$95),2)</f>
        <v>180.7</v>
      </c>
      <c r="K73" s="1351"/>
      <c r="L73" s="1351"/>
    </row>
    <row r="74" spans="1:12" s="52" customFormat="1">
      <c r="A74" s="1280" t="s">
        <v>463</v>
      </c>
      <c r="B74" s="1280"/>
      <c r="C74" s="1280"/>
      <c r="D74" s="1280"/>
      <c r="E74" s="1280"/>
      <c r="F74" s="2324"/>
      <c r="G74" s="2324"/>
      <c r="H74" s="1295"/>
      <c r="I74" s="1295"/>
      <c r="J74" s="1295"/>
      <c r="K74" s="1351"/>
      <c r="L74" s="1351"/>
    </row>
    <row r="75" spans="1:12" s="52" customFormat="1">
      <c r="A75" s="1332" t="s">
        <v>2463</v>
      </c>
      <c r="B75" s="1332"/>
      <c r="C75" s="1332"/>
      <c r="D75" s="1332"/>
      <c r="E75" s="1332"/>
      <c r="F75" s="2324"/>
      <c r="G75" s="2324"/>
      <c r="H75" s="1295"/>
      <c r="I75" s="1295"/>
      <c r="J75" s="1295"/>
      <c r="K75" s="1351"/>
      <c r="L75" s="1351"/>
    </row>
    <row r="76" spans="1:12" s="52" customFormat="1" ht="12.75" customHeight="1">
      <c r="A76" s="1332"/>
      <c r="B76" s="1332"/>
      <c r="C76" s="1332"/>
      <c r="D76" s="1332"/>
      <c r="E76" s="1332"/>
      <c r="F76" s="1352" t="s">
        <v>597</v>
      </c>
      <c r="G76" s="1352"/>
      <c r="H76" s="1352"/>
      <c r="I76" s="1398" t="s">
        <v>2464</v>
      </c>
      <c r="J76" s="1398"/>
      <c r="K76" s="1398"/>
      <c r="L76" s="1398"/>
    </row>
    <row r="77" spans="1:12" s="52" customFormat="1" ht="12.75" customHeight="1">
      <c r="A77" s="1296" t="s">
        <v>2465</v>
      </c>
      <c r="B77" s="1296"/>
      <c r="C77" s="1296"/>
      <c r="D77" s="1296"/>
      <c r="E77" s="1296"/>
      <c r="F77" s="131" t="s">
        <v>483</v>
      </c>
      <c r="G77" s="131" t="s">
        <v>484</v>
      </c>
      <c r="H77" s="126" t="s">
        <v>485</v>
      </c>
      <c r="I77" s="1398"/>
      <c r="J77" s="1398"/>
      <c r="K77" s="1398"/>
      <c r="L77" s="1398"/>
    </row>
    <row r="78" spans="1:12" s="52" customFormat="1" ht="12.75" customHeight="1">
      <c r="A78" s="1280" t="s">
        <v>618</v>
      </c>
      <c r="B78" s="1280"/>
      <c r="C78" s="1280"/>
      <c r="D78" s="1280"/>
      <c r="E78" s="1280"/>
      <c r="F78" s="42" t="s">
        <v>599</v>
      </c>
      <c r="G78" s="43" t="str">
        <f>(1500*Belarus)&amp;" руб."</f>
        <v>1500 руб.</v>
      </c>
      <c r="H78" s="1281" t="s">
        <v>488</v>
      </c>
      <c r="I78" s="1352" t="s">
        <v>483</v>
      </c>
      <c r="J78" s="1352"/>
      <c r="K78" s="131" t="s">
        <v>484</v>
      </c>
      <c r="L78" s="126" t="s">
        <v>485</v>
      </c>
    </row>
    <row r="79" spans="1:12" s="52" customFormat="1" ht="12.75" customHeight="1">
      <c r="A79" s="1332" t="s">
        <v>492</v>
      </c>
      <c r="B79" s="1332"/>
      <c r="C79" s="1332"/>
      <c r="D79" s="1332"/>
      <c r="E79" s="1332"/>
      <c r="F79" s="42" t="s">
        <v>601</v>
      </c>
      <c r="G79" s="43" t="s">
        <v>602</v>
      </c>
      <c r="H79" s="1281"/>
      <c r="I79" s="1280" t="s">
        <v>603</v>
      </c>
      <c r="J79" s="1280"/>
      <c r="K79" s="43" t="s">
        <v>604</v>
      </c>
      <c r="L79" s="1281" t="s">
        <v>488</v>
      </c>
    </row>
    <row r="80" spans="1:12" s="52" customFormat="1" ht="12.75" customHeight="1">
      <c r="A80" s="1332"/>
      <c r="B80" s="1332"/>
      <c r="C80" s="1332"/>
      <c r="D80" s="1332"/>
      <c r="E80" s="1332"/>
      <c r="F80" s="42" t="s">
        <v>605</v>
      </c>
      <c r="G80" s="43" t="s">
        <v>606</v>
      </c>
      <c r="H80" s="1281"/>
      <c r="I80" s="1280" t="s">
        <v>607</v>
      </c>
      <c r="J80" s="1280"/>
      <c r="K80" s="43" t="s">
        <v>608</v>
      </c>
      <c r="L80" s="1281"/>
    </row>
    <row r="81" spans="1:12" s="52" customFormat="1" ht="12.75" customHeight="1">
      <c r="A81" s="1378" t="s">
        <v>2466</v>
      </c>
      <c r="B81" s="1379"/>
      <c r="C81" s="1379"/>
      <c r="D81" s="1379"/>
      <c r="E81" s="1379"/>
      <c r="F81" s="42" t="s">
        <v>609</v>
      </c>
      <c r="G81" s="43" t="s">
        <v>610</v>
      </c>
      <c r="H81" s="1281"/>
      <c r="I81" s="1280" t="s">
        <v>611</v>
      </c>
      <c r="J81" s="1280"/>
      <c r="K81" s="43" t="s">
        <v>612</v>
      </c>
      <c r="L81" s="1281"/>
    </row>
    <row r="82" spans="1:12" s="52" customFormat="1" ht="12.75" customHeight="1">
      <c r="A82" s="1381" t="s">
        <v>307</v>
      </c>
      <c r="B82" s="1383"/>
      <c r="C82" s="453" t="s">
        <v>1995</v>
      </c>
      <c r="D82" s="454" t="s">
        <v>2467</v>
      </c>
      <c r="E82" s="455"/>
      <c r="F82" s="1280" t="s">
        <v>613</v>
      </c>
      <c r="G82" s="1281" t="s">
        <v>496</v>
      </c>
      <c r="H82" s="1900" t="s">
        <v>497</v>
      </c>
      <c r="I82" s="1280" t="s">
        <v>614</v>
      </c>
      <c r="J82" s="1280"/>
      <c r="K82" s="43" t="s">
        <v>496</v>
      </c>
      <c r="L82" s="43" t="s">
        <v>497</v>
      </c>
    </row>
    <row r="83" spans="1:12" s="52" customFormat="1" ht="16.5" customHeight="1">
      <c r="A83" s="1981" t="s">
        <v>2468</v>
      </c>
      <c r="B83" s="1981"/>
      <c r="C83" s="379" t="s">
        <v>2469</v>
      </c>
      <c r="D83" s="2323">
        <f>ROUND(748*Belarus*(1-B98),2)</f>
        <v>748</v>
      </c>
      <c r="E83" s="2323"/>
      <c r="F83" s="1280"/>
      <c r="G83" s="1281"/>
      <c r="H83" s="1901"/>
      <c r="I83" s="1280" t="s">
        <v>2470</v>
      </c>
      <c r="J83" s="1280"/>
      <c r="K83" s="1280"/>
      <c r="L83" s="1280"/>
    </row>
    <row r="84" spans="1:12" s="52" customFormat="1" ht="12.75" customHeight="1">
      <c r="A84" s="1981" t="s">
        <v>2471</v>
      </c>
      <c r="B84" s="1981"/>
      <c r="C84" s="379" t="s">
        <v>2472</v>
      </c>
      <c r="D84" s="2323">
        <f>ROUND(2950*Belarus*(1-B99),2)</f>
        <v>2950</v>
      </c>
      <c r="E84" s="2323"/>
      <c r="F84" s="1491" t="s">
        <v>617</v>
      </c>
      <c r="G84" s="1491"/>
      <c r="H84" s="1491"/>
      <c r="I84" s="1491"/>
      <c r="J84" s="1491"/>
      <c r="K84" s="1491"/>
      <c r="L84" s="1491"/>
    </row>
    <row r="85" spans="1:12" s="52" customFormat="1" ht="12.75" customHeight="1">
      <c r="A85" s="2188" t="s">
        <v>2473</v>
      </c>
      <c r="B85" s="2189"/>
      <c r="C85" s="379" t="s">
        <v>2474</v>
      </c>
      <c r="D85" s="2323">
        <f>ROUND(2200*Belarus*(1-B97),2)</f>
        <v>2200</v>
      </c>
      <c r="E85" s="2323"/>
      <c r="F85" s="1280" t="s">
        <v>498</v>
      </c>
      <c r="G85" s="1280"/>
      <c r="H85" s="1280"/>
      <c r="I85" s="1280"/>
      <c r="J85" s="1280"/>
      <c r="K85" s="1281" t="str">
        <f>(1000*Belarus)&amp;" руб."</f>
        <v>1000 руб.</v>
      </c>
      <c r="L85" s="1281"/>
    </row>
    <row r="86" spans="1:12" s="52" customFormat="1" ht="12.75" customHeight="1">
      <c r="A86" s="1981" t="s">
        <v>2475</v>
      </c>
      <c r="B86" s="1981"/>
      <c r="C86" s="379" t="s">
        <v>2476</v>
      </c>
      <c r="D86" s="2323">
        <f>ROUND(400*Belarus*(1-B97),2)</f>
        <v>400</v>
      </c>
      <c r="E86" s="2323"/>
      <c r="F86" s="1280" t="s">
        <v>501</v>
      </c>
      <c r="G86" s="1280"/>
      <c r="H86" s="1280"/>
      <c r="I86" s="1280"/>
      <c r="J86" s="1280"/>
      <c r="K86" s="1281" t="str">
        <f>(200*Belarus)&amp;" руб."</f>
        <v>200 руб.</v>
      </c>
      <c r="L86" s="1281"/>
    </row>
    <row r="87" spans="1:12">
      <c r="A87" s="1592" t="s">
        <v>6676</v>
      </c>
      <c r="B87" s="1594"/>
      <c r="C87" s="379" t="s">
        <v>6685</v>
      </c>
      <c r="D87" s="1590">
        <f>ROUND(3200*Belarus*(1-B97),2)</f>
        <v>3200</v>
      </c>
      <c r="E87" s="1590"/>
    </row>
    <row r="89" spans="1:12">
      <c r="A89" s="1595" t="s">
        <v>508</v>
      </c>
      <c r="B89" s="1340" t="s">
        <v>2477</v>
      </c>
      <c r="C89" s="1340" t="s">
        <v>2478</v>
      </c>
      <c r="D89" s="1340" t="s">
        <v>2479</v>
      </c>
      <c r="E89" s="1340" t="s">
        <v>2480</v>
      </c>
      <c r="F89" s="1340" t="s">
        <v>2481</v>
      </c>
      <c r="G89" s="1340" t="s">
        <v>2482</v>
      </c>
      <c r="H89" s="1340" t="s">
        <v>2483</v>
      </c>
      <c r="I89" s="1340" t="s">
        <v>2484</v>
      </c>
    </row>
    <row r="90" spans="1:12">
      <c r="A90" s="1595"/>
      <c r="B90" s="1341"/>
      <c r="C90" s="1341"/>
      <c r="D90" s="1341"/>
      <c r="E90" s="1341"/>
      <c r="F90" s="1341"/>
      <c r="G90" s="1341"/>
      <c r="H90" s="1341"/>
      <c r="I90" s="1341"/>
    </row>
    <row r="91" spans="1:12">
      <c r="A91" s="230" t="s">
        <v>518</v>
      </c>
      <c r="B91" s="129" t="s">
        <v>369</v>
      </c>
      <c r="C91" s="129" t="s">
        <v>369</v>
      </c>
      <c r="D91" s="129">
        <v>0</v>
      </c>
      <c r="E91" s="129">
        <v>0</v>
      </c>
      <c r="F91" s="129">
        <v>0</v>
      </c>
      <c r="G91" s="129">
        <v>0</v>
      </c>
      <c r="H91" s="129" t="s">
        <v>369</v>
      </c>
      <c r="I91" s="129" t="s">
        <v>369</v>
      </c>
    </row>
    <row r="92" spans="1:12">
      <c r="A92" s="230" t="s">
        <v>519</v>
      </c>
      <c r="B92" s="129">
        <v>0</v>
      </c>
      <c r="C92" s="129">
        <v>0</v>
      </c>
      <c r="D92" s="129">
        <v>0</v>
      </c>
      <c r="E92" s="129">
        <v>0</v>
      </c>
      <c r="F92" s="129">
        <v>0</v>
      </c>
      <c r="G92" s="129">
        <v>0</v>
      </c>
      <c r="H92" s="129">
        <v>0</v>
      </c>
      <c r="I92" s="129">
        <v>0</v>
      </c>
    </row>
    <row r="93" spans="1:12">
      <c r="A93" s="229" t="s">
        <v>520</v>
      </c>
      <c r="B93" s="129">
        <v>0</v>
      </c>
      <c r="C93" s="129">
        <v>0</v>
      </c>
      <c r="D93" s="129">
        <v>0</v>
      </c>
      <c r="E93" s="129">
        <v>0</v>
      </c>
      <c r="F93" s="129">
        <v>0</v>
      </c>
      <c r="G93" s="129">
        <v>0</v>
      </c>
      <c r="H93" s="129">
        <v>0</v>
      </c>
      <c r="I93" s="129">
        <v>0</v>
      </c>
    </row>
    <row r="94" spans="1:12">
      <c r="A94" s="229" t="s">
        <v>752</v>
      </c>
      <c r="B94" s="1661">
        <v>0</v>
      </c>
      <c r="C94" s="1669"/>
      <c r="D94" s="1669"/>
      <c r="E94" s="1669"/>
      <c r="F94" s="1669"/>
      <c r="G94" s="1669"/>
      <c r="H94" s="1669"/>
      <c r="I94" s="1662"/>
    </row>
    <row r="95" spans="1:12">
      <c r="A95" s="229" t="s">
        <v>666</v>
      </c>
      <c r="B95" s="1661">
        <v>0</v>
      </c>
      <c r="C95" s="1669"/>
      <c r="D95" s="1669"/>
      <c r="E95" s="1669"/>
      <c r="F95" s="1669"/>
      <c r="G95" s="1669"/>
      <c r="H95" s="1669"/>
      <c r="I95" s="1662"/>
    </row>
    <row r="96" spans="1:12">
      <c r="A96" s="229" t="s">
        <v>2485</v>
      </c>
      <c r="B96" s="1661">
        <v>0</v>
      </c>
      <c r="C96" s="1669"/>
      <c r="D96" s="1669"/>
      <c r="E96" s="1669"/>
      <c r="F96" s="1669"/>
      <c r="G96" s="1669"/>
      <c r="H96" s="1669"/>
      <c r="I96" s="1662"/>
    </row>
    <row r="97" spans="1:9">
      <c r="A97" s="229" t="s">
        <v>2486</v>
      </c>
      <c r="B97" s="1661">
        <v>0</v>
      </c>
      <c r="C97" s="1669"/>
      <c r="D97" s="1669"/>
      <c r="E97" s="1669"/>
      <c r="F97" s="1669"/>
      <c r="G97" s="1669"/>
      <c r="H97" s="1669"/>
      <c r="I97" s="1662"/>
    </row>
    <row r="98" spans="1:9">
      <c r="A98" s="229" t="s">
        <v>2487</v>
      </c>
      <c r="B98" s="1661">
        <v>0</v>
      </c>
      <c r="C98" s="1669"/>
      <c r="D98" s="1669"/>
      <c r="E98" s="1669"/>
      <c r="F98" s="1669"/>
      <c r="G98" s="1669"/>
      <c r="H98" s="1669"/>
      <c r="I98" s="1662"/>
    </row>
    <row r="99" spans="1:9">
      <c r="A99" s="230" t="s">
        <v>2488</v>
      </c>
      <c r="B99" s="1661">
        <v>0</v>
      </c>
      <c r="C99" s="1669"/>
      <c r="D99" s="1669"/>
      <c r="E99" s="1669"/>
      <c r="F99" s="1669"/>
      <c r="G99" s="1669"/>
      <c r="H99" s="1669"/>
      <c r="I99" s="1662"/>
    </row>
    <row r="104" spans="1:9" ht="12.75" customHeight="1"/>
    <row r="110" spans="1:9" ht="12.75" customHeight="1"/>
    <row r="111" spans="1:9" ht="12.75" customHeight="1"/>
  </sheetData>
  <sheetProtection selectLockedCells="1" selectUnlockedCells="1"/>
  <mergeCells count="161">
    <mergeCell ref="J6:L6"/>
    <mergeCell ref="A7:D7"/>
    <mergeCell ref="A8:D8"/>
    <mergeCell ref="E8:L8"/>
    <mergeCell ref="C10:D10"/>
    <mergeCell ref="C11:D11"/>
    <mergeCell ref="A6:D6"/>
    <mergeCell ref="E6:I6"/>
    <mergeCell ref="A1:D1"/>
    <mergeCell ref="A4:A5"/>
    <mergeCell ref="B4:B5"/>
    <mergeCell ref="C4:D5"/>
    <mergeCell ref="E4:L4"/>
    <mergeCell ref="E5:L5"/>
    <mergeCell ref="A2:I2"/>
    <mergeCell ref="C15:D15"/>
    <mergeCell ref="C16:D16"/>
    <mergeCell ref="C17:D17"/>
    <mergeCell ref="C18:D18"/>
    <mergeCell ref="C12:D12"/>
    <mergeCell ref="C14:D14"/>
    <mergeCell ref="C19:D19"/>
    <mergeCell ref="C20:D20"/>
    <mergeCell ref="C21:D21"/>
    <mergeCell ref="C23:D23"/>
    <mergeCell ref="A24:L24"/>
    <mergeCell ref="A25:F25"/>
    <mergeCell ref="G25:L26"/>
    <mergeCell ref="A26:F26"/>
    <mergeCell ref="A27:L27"/>
    <mergeCell ref="A28:B29"/>
    <mergeCell ref="C28:C29"/>
    <mergeCell ref="D28:E28"/>
    <mergeCell ref="F28:I29"/>
    <mergeCell ref="J28:J29"/>
    <mergeCell ref="K28:L28"/>
    <mergeCell ref="A30:E30"/>
    <mergeCell ref="F31:I31"/>
    <mergeCell ref="A33:A36"/>
    <mergeCell ref="F33:I33"/>
    <mergeCell ref="F34:I34"/>
    <mergeCell ref="F36:I36"/>
    <mergeCell ref="A37:B37"/>
    <mergeCell ref="F37:I37"/>
    <mergeCell ref="A38:A42"/>
    <mergeCell ref="F38:I38"/>
    <mergeCell ref="F39:I39"/>
    <mergeCell ref="F40:I40"/>
    <mergeCell ref="F41:I41"/>
    <mergeCell ref="F42:I42"/>
    <mergeCell ref="A43:A44"/>
    <mergeCell ref="F43:I43"/>
    <mergeCell ref="F44:I44"/>
    <mergeCell ref="F45:I45"/>
    <mergeCell ref="A46:B46"/>
    <mergeCell ref="F46:I46"/>
    <mergeCell ref="F52:I52"/>
    <mergeCell ref="A47:B47"/>
    <mergeCell ref="F47:I47"/>
    <mergeCell ref="A48:B48"/>
    <mergeCell ref="F48:I48"/>
    <mergeCell ref="A49:B49"/>
    <mergeCell ref="F49:I49"/>
    <mergeCell ref="A53:B53"/>
    <mergeCell ref="F53:I53"/>
    <mergeCell ref="A54:B54"/>
    <mergeCell ref="F54:I54"/>
    <mergeCell ref="F55:I55"/>
    <mergeCell ref="A50:B50"/>
    <mergeCell ref="F50:I50"/>
    <mergeCell ref="A51:B51"/>
    <mergeCell ref="F51:I51"/>
    <mergeCell ref="A52:B52"/>
    <mergeCell ref="F63:I63"/>
    <mergeCell ref="A56:B56"/>
    <mergeCell ref="F56:I56"/>
    <mergeCell ref="A57:B57"/>
    <mergeCell ref="F57:I57"/>
    <mergeCell ref="A58:B58"/>
    <mergeCell ref="F58:I58"/>
    <mergeCell ref="A64:B64"/>
    <mergeCell ref="F64:I64"/>
    <mergeCell ref="A65:B65"/>
    <mergeCell ref="A66:B66"/>
    <mergeCell ref="F66:I66"/>
    <mergeCell ref="A59:B59"/>
    <mergeCell ref="A60:B60"/>
    <mergeCell ref="A61:B61"/>
    <mergeCell ref="F62:I62"/>
    <mergeCell ref="A63:B63"/>
    <mergeCell ref="F73:G75"/>
    <mergeCell ref="A67:B67"/>
    <mergeCell ref="F67:I67"/>
    <mergeCell ref="A68:C68"/>
    <mergeCell ref="D68:E68"/>
    <mergeCell ref="F68:I68"/>
    <mergeCell ref="A69:C69"/>
    <mergeCell ref="D69:E69"/>
    <mergeCell ref="F69:I69"/>
    <mergeCell ref="A77:E77"/>
    <mergeCell ref="A70:C70"/>
    <mergeCell ref="D70:E70"/>
    <mergeCell ref="F70:I70"/>
    <mergeCell ref="A71:E71"/>
    <mergeCell ref="F71:L71"/>
    <mergeCell ref="A72:E72"/>
    <mergeCell ref="F72:G72"/>
    <mergeCell ref="K72:L75"/>
    <mergeCell ref="A73:E73"/>
    <mergeCell ref="I80:J80"/>
    <mergeCell ref="A81:E81"/>
    <mergeCell ref="I81:J81"/>
    <mergeCell ref="H73:H75"/>
    <mergeCell ref="I73:I75"/>
    <mergeCell ref="J73:J75"/>
    <mergeCell ref="A74:E74"/>
    <mergeCell ref="A75:E76"/>
    <mergeCell ref="F76:H76"/>
    <mergeCell ref="I76:L77"/>
    <mergeCell ref="I82:J82"/>
    <mergeCell ref="A83:B83"/>
    <mergeCell ref="D83:E83"/>
    <mergeCell ref="I83:L83"/>
    <mergeCell ref="A78:E78"/>
    <mergeCell ref="H78:H81"/>
    <mergeCell ref="I78:J78"/>
    <mergeCell ref="A79:E80"/>
    <mergeCell ref="I79:J79"/>
    <mergeCell ref="L79:L81"/>
    <mergeCell ref="A87:B87"/>
    <mergeCell ref="D87:E87"/>
    <mergeCell ref="A82:B82"/>
    <mergeCell ref="F82:F83"/>
    <mergeCell ref="G82:G83"/>
    <mergeCell ref="H82:H83"/>
    <mergeCell ref="A84:B84"/>
    <mergeCell ref="D84:E84"/>
    <mergeCell ref="F84:L84"/>
    <mergeCell ref="A85:B85"/>
    <mergeCell ref="D85:E85"/>
    <mergeCell ref="F85:J85"/>
    <mergeCell ref="K85:L85"/>
    <mergeCell ref="A86:B86"/>
    <mergeCell ref="D86:E86"/>
    <mergeCell ref="F86:J86"/>
    <mergeCell ref="K86:L86"/>
    <mergeCell ref="A89:A90"/>
    <mergeCell ref="B89:B90"/>
    <mergeCell ref="C89:C90"/>
    <mergeCell ref="D89:D90"/>
    <mergeCell ref="E89:E90"/>
    <mergeCell ref="F89:F90"/>
    <mergeCell ref="B97:I97"/>
    <mergeCell ref="B98:I98"/>
    <mergeCell ref="B99:I99"/>
    <mergeCell ref="G89:G90"/>
    <mergeCell ref="H89:H90"/>
    <mergeCell ref="I89:I90"/>
    <mergeCell ref="B94:I94"/>
    <mergeCell ref="B95:I95"/>
    <mergeCell ref="B96:I96"/>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49"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29</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J100"/>
  <sheetViews>
    <sheetView zoomScale="70" zoomScaleNormal="70" workbookViewId="0">
      <pane xSplit="1" ySplit="10" topLeftCell="B11" activePane="bottomRight" state="frozen"/>
      <selection pane="topRight" activeCell="B1" sqref="B1"/>
      <selection pane="bottomLeft" activeCell="A11" sqref="A11"/>
      <selection pane="bottomRight" sqref="A1:D1"/>
    </sheetView>
  </sheetViews>
  <sheetFormatPr defaultRowHeight="12.75"/>
  <cols>
    <col min="1" max="1" width="34.7109375" style="46" customWidth="1"/>
    <col min="2" max="2" width="17.140625" style="46" customWidth="1"/>
    <col min="3" max="3" width="11.5703125" style="46" customWidth="1"/>
    <col min="4" max="4" width="11.7109375" style="46" customWidth="1"/>
    <col min="5" max="5" width="9.5703125" style="46" customWidth="1"/>
    <col min="6" max="6" width="10.5703125" style="46" customWidth="1"/>
    <col min="7" max="7" width="8.7109375" style="46" customWidth="1"/>
    <col min="8" max="8" width="9" style="46" customWidth="1"/>
    <col min="9" max="9" width="9.28515625" style="46" customWidth="1"/>
    <col min="10" max="10" width="8.28515625" style="46" customWidth="1"/>
    <col min="11" max="11" width="7.7109375" style="46" customWidth="1"/>
    <col min="12" max="12" width="11.42578125" style="46" customWidth="1"/>
    <col min="13" max="13" width="11.140625" style="46" customWidth="1"/>
    <col min="14" max="15" width="11.28515625" style="46" customWidth="1"/>
    <col min="16" max="16" width="9.7109375" style="46" customWidth="1"/>
    <col min="17" max="17" width="9.140625" style="46" customWidth="1"/>
    <col min="18" max="18" width="8.28515625" style="46" customWidth="1"/>
    <col min="19" max="19" width="9.140625" style="46" customWidth="1"/>
    <col min="20" max="20" width="7.42578125" style="46" customWidth="1"/>
    <col min="21" max="21" width="7.28515625" style="46" customWidth="1"/>
    <col min="22" max="22" width="8.28515625" style="46" customWidth="1"/>
    <col min="23" max="23" width="10.28515625" style="46" customWidth="1"/>
    <col min="24" max="24" width="12.42578125" style="46" customWidth="1"/>
    <col min="25" max="25" width="9.85546875" style="46" customWidth="1"/>
    <col min="26" max="26" width="8.42578125" style="46" customWidth="1"/>
    <col min="27" max="27" width="8.7109375" style="46" customWidth="1"/>
    <col min="28" max="28" width="8" style="46" customWidth="1"/>
    <col min="29" max="29" width="9" style="46" customWidth="1"/>
    <col min="30" max="30" width="8.5703125" style="46" customWidth="1"/>
    <col min="31" max="31" width="7.42578125" style="46" customWidth="1"/>
    <col min="32" max="32" width="7.7109375" style="46" customWidth="1"/>
    <col min="33" max="34" width="7.42578125" style="46" customWidth="1"/>
    <col min="35" max="35" width="9.140625" style="46"/>
    <col min="36" max="36" width="10.7109375" style="46" bestFit="1" customWidth="1"/>
    <col min="37" max="16384" width="9.140625" style="46"/>
  </cols>
  <sheetData>
    <row r="1" spans="1:36">
      <c r="A1" s="1481" t="s">
        <v>312</v>
      </c>
      <c r="B1" s="1481"/>
      <c r="C1" s="1481"/>
      <c r="D1" s="1481"/>
      <c r="E1" s="189"/>
    </row>
    <row r="2" spans="1:36" ht="18.75" customHeight="1" thickBot="1">
      <c r="A2" s="1482" t="s">
        <v>314</v>
      </c>
      <c r="B2" s="1482"/>
      <c r="C2" s="1482"/>
      <c r="D2" s="1482"/>
      <c r="E2" s="1482"/>
      <c r="F2" s="1482"/>
      <c r="G2" s="1482"/>
      <c r="H2" s="1482"/>
      <c r="I2" s="1482"/>
      <c r="J2" s="1482"/>
      <c r="K2" s="1482"/>
      <c r="L2" s="1482"/>
      <c r="M2" s="1482"/>
      <c r="N2" s="1482"/>
      <c r="O2" s="1482"/>
      <c r="P2" s="1482"/>
      <c r="Q2" s="1482"/>
      <c r="R2" s="1482"/>
      <c r="S2" s="1482"/>
      <c r="T2" s="1482"/>
      <c r="U2" s="1482"/>
      <c r="V2" s="1482"/>
      <c r="W2" s="1482"/>
      <c r="X2" s="1482"/>
      <c r="Y2" s="1482"/>
      <c r="Z2" s="1482"/>
      <c r="AA2" s="1482"/>
      <c r="AB2" s="732"/>
      <c r="AC2" s="732"/>
      <c r="AD2" s="732"/>
      <c r="AE2" s="733"/>
      <c r="AF2" s="734" t="s">
        <v>313</v>
      </c>
      <c r="AG2" s="1483">
        <v>43301</v>
      </c>
      <c r="AH2" s="1483"/>
    </row>
    <row r="3" spans="1:36" ht="15">
      <c r="A3" s="52"/>
      <c r="B3" s="52"/>
      <c r="C3" s="52"/>
      <c r="D3" s="55"/>
      <c r="W3" s="56"/>
      <c r="Y3" s="8"/>
      <c r="Z3" s="8"/>
      <c r="AA3" s="8"/>
      <c r="AB3" s="8"/>
      <c r="AF3" s="8" t="s">
        <v>315</v>
      </c>
      <c r="AG3" s="1484">
        <v>43301</v>
      </c>
      <c r="AH3" s="1484"/>
    </row>
    <row r="4" spans="1:36" ht="15" customHeight="1">
      <c r="A4" s="1459" t="s">
        <v>316</v>
      </c>
      <c r="B4" s="1459" t="s">
        <v>317</v>
      </c>
      <c r="C4" s="1459" t="s">
        <v>318</v>
      </c>
      <c r="D4" s="793" t="s">
        <v>319</v>
      </c>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1000"/>
    </row>
    <row r="5" spans="1:36" ht="15">
      <c r="A5" s="1460"/>
      <c r="B5" s="1460"/>
      <c r="C5" s="1460"/>
      <c r="D5" s="1462" t="s">
        <v>320</v>
      </c>
      <c r="E5" s="1463"/>
      <c r="F5" s="1464"/>
      <c r="G5" s="1450" t="s">
        <v>3583</v>
      </c>
      <c r="H5" s="1452" t="s">
        <v>321</v>
      </c>
      <c r="I5" s="1453"/>
      <c r="J5" s="1453"/>
      <c r="K5" s="1454"/>
      <c r="L5" s="1450" t="s">
        <v>6293</v>
      </c>
      <c r="M5" s="1450" t="s">
        <v>323</v>
      </c>
      <c r="N5" s="1450" t="s">
        <v>620</v>
      </c>
      <c r="O5" s="1450" t="s">
        <v>5376</v>
      </c>
      <c r="P5" s="1452" t="s">
        <v>324</v>
      </c>
      <c r="Q5" s="1477"/>
      <c r="R5" s="1478"/>
      <c r="S5" s="1462" t="s">
        <v>325</v>
      </c>
      <c r="T5" s="1463"/>
      <c r="U5" s="1463"/>
      <c r="V5" s="1463"/>
      <c r="W5" s="1463"/>
      <c r="X5" s="1464"/>
      <c r="Y5" s="1479" t="s">
        <v>101</v>
      </c>
      <c r="Z5" s="1480"/>
      <c r="AA5" s="1462" t="s">
        <v>326</v>
      </c>
      <c r="AB5" s="1463"/>
      <c r="AC5" s="1463"/>
      <c r="AD5" s="1463"/>
      <c r="AE5" s="1463"/>
      <c r="AF5" s="1463"/>
      <c r="AG5" s="1463"/>
      <c r="AH5" s="1464"/>
    </row>
    <row r="6" spans="1:36" ht="51">
      <c r="A6" s="1460"/>
      <c r="B6" s="1460"/>
      <c r="C6" s="1460"/>
      <c r="D6" s="58" t="s">
        <v>6567</v>
      </c>
      <c r="E6" s="58" t="s">
        <v>6568</v>
      </c>
      <c r="F6" s="991" t="s">
        <v>329</v>
      </c>
      <c r="G6" s="1451"/>
      <c r="H6" s="60" t="s">
        <v>330</v>
      </c>
      <c r="I6" s="62" t="s">
        <v>331</v>
      </c>
      <c r="J6" s="62" t="s">
        <v>332</v>
      </c>
      <c r="K6" s="62" t="s">
        <v>333</v>
      </c>
      <c r="L6" s="1451"/>
      <c r="M6" s="1451"/>
      <c r="N6" s="1451"/>
      <c r="O6" s="1451"/>
      <c r="P6" s="62" t="s">
        <v>3703</v>
      </c>
      <c r="Q6" s="60" t="s">
        <v>334</v>
      </c>
      <c r="R6" s="62" t="s">
        <v>335</v>
      </c>
      <c r="S6" s="58" t="s">
        <v>336</v>
      </c>
      <c r="T6" s="1465" t="s">
        <v>289</v>
      </c>
      <c r="U6" s="1466"/>
      <c r="V6" s="1466"/>
      <c r="W6" s="1466"/>
      <c r="X6" s="1467"/>
      <c r="Y6" s="60" t="s">
        <v>337</v>
      </c>
      <c r="Z6" s="60" t="s">
        <v>338</v>
      </c>
      <c r="AA6" s="1462" t="s">
        <v>339</v>
      </c>
      <c r="AB6" s="1463"/>
      <c r="AC6" s="1463"/>
      <c r="AD6" s="1463"/>
      <c r="AE6" s="1463"/>
      <c r="AF6" s="1463"/>
      <c r="AG6" s="1463"/>
      <c r="AH6" s="1464"/>
      <c r="AJ6" s="872"/>
    </row>
    <row r="7" spans="1:36">
      <c r="A7" s="870" t="s">
        <v>340</v>
      </c>
      <c r="B7" s="1460"/>
      <c r="C7" s="1460"/>
      <c r="D7" s="64" t="s">
        <v>341</v>
      </c>
      <c r="E7" s="64" t="s">
        <v>341</v>
      </c>
      <c r="F7" s="64" t="s">
        <v>6846</v>
      </c>
      <c r="G7" s="1474" t="s">
        <v>362</v>
      </c>
      <c r="H7" s="65" t="s">
        <v>342</v>
      </c>
      <c r="I7" s="57" t="s">
        <v>342</v>
      </c>
      <c r="J7" s="66" t="s">
        <v>342</v>
      </c>
      <c r="K7" s="57" t="s">
        <v>342</v>
      </c>
      <c r="L7" s="67" t="s">
        <v>343</v>
      </c>
      <c r="M7" s="67" t="s">
        <v>341</v>
      </c>
      <c r="N7" s="67" t="s">
        <v>341</v>
      </c>
      <c r="O7" s="67" t="s">
        <v>5377</v>
      </c>
      <c r="P7" s="57" t="s">
        <v>344</v>
      </c>
      <c r="Q7" s="57" t="s">
        <v>345</v>
      </c>
      <c r="R7" s="57" t="s">
        <v>345</v>
      </c>
      <c r="S7" s="64" t="s">
        <v>345</v>
      </c>
      <c r="T7" s="1468" t="s">
        <v>346</v>
      </c>
      <c r="U7" s="1469"/>
      <c r="V7" s="1469"/>
      <c r="W7" s="1469"/>
      <c r="X7" s="1469"/>
      <c r="Y7" s="1470"/>
      <c r="Z7" s="1470"/>
      <c r="AA7" s="1471" t="s">
        <v>347</v>
      </c>
      <c r="AB7" s="1472"/>
      <c r="AC7" s="1472"/>
      <c r="AD7" s="1472"/>
      <c r="AE7" s="1472"/>
      <c r="AF7" s="1471" t="s">
        <v>348</v>
      </c>
      <c r="AG7" s="1472"/>
      <c r="AH7" s="1473"/>
    </row>
    <row r="8" spans="1:36">
      <c r="A8" s="871" t="s">
        <v>349</v>
      </c>
      <c r="B8" s="1460"/>
      <c r="C8" s="1460"/>
      <c r="D8" s="70" t="s">
        <v>530</v>
      </c>
      <c r="E8" s="70" t="s">
        <v>530</v>
      </c>
      <c r="F8" s="70" t="s">
        <v>530</v>
      </c>
      <c r="G8" s="1475"/>
      <c r="H8" s="71" t="s">
        <v>531</v>
      </c>
      <c r="I8" s="72" t="s">
        <v>532</v>
      </c>
      <c r="J8" s="73" t="s">
        <v>533</v>
      </c>
      <c r="K8" s="72" t="s">
        <v>532</v>
      </c>
      <c r="L8" s="74" t="s">
        <v>534</v>
      </c>
      <c r="M8" s="74" t="s">
        <v>535</v>
      </c>
      <c r="N8" s="74" t="s">
        <v>6763</v>
      </c>
      <c r="O8" s="74" t="s">
        <v>6764</v>
      </c>
      <c r="P8" s="72">
        <v>0.45</v>
      </c>
      <c r="Q8" s="72" t="s">
        <v>536</v>
      </c>
      <c r="R8" s="73" t="s">
        <v>532</v>
      </c>
      <c r="S8" s="75" t="s">
        <v>536</v>
      </c>
      <c r="T8" s="70">
        <v>0.8</v>
      </c>
      <c r="U8" s="70">
        <v>0.7</v>
      </c>
      <c r="V8" s="70" t="s">
        <v>3704</v>
      </c>
      <c r="W8" s="74" t="s">
        <v>6290</v>
      </c>
      <c r="X8" s="70">
        <v>0.4</v>
      </c>
      <c r="Y8" s="1470">
        <v>0.35</v>
      </c>
      <c r="Z8" s="1470"/>
      <c r="AA8" s="70">
        <v>0.35</v>
      </c>
      <c r="AB8" s="70">
        <v>0.4</v>
      </c>
      <c r="AC8" s="70">
        <v>0.45</v>
      </c>
      <c r="AD8" s="70">
        <v>0.5</v>
      </c>
      <c r="AE8" s="70">
        <v>0.55000000000000004</v>
      </c>
      <c r="AF8" s="70">
        <v>0.7</v>
      </c>
      <c r="AG8" s="70">
        <v>0.8</v>
      </c>
      <c r="AH8" s="70">
        <v>0.9</v>
      </c>
    </row>
    <row r="9" spans="1:36" ht="8.25" customHeight="1">
      <c r="A9" s="1457" t="s">
        <v>358</v>
      </c>
      <c r="B9" s="1460"/>
      <c r="C9" s="1460"/>
      <c r="D9" s="1442" t="s">
        <v>359</v>
      </c>
      <c r="E9" s="1442" t="s">
        <v>359</v>
      </c>
      <c r="F9" s="1442" t="s">
        <v>359</v>
      </c>
      <c r="G9" s="1475"/>
      <c r="H9" s="1444" t="s">
        <v>4086</v>
      </c>
      <c r="I9" s="1444" t="s">
        <v>360</v>
      </c>
      <c r="J9" s="1444" t="s">
        <v>4087</v>
      </c>
      <c r="K9" s="1444" t="s">
        <v>4087</v>
      </c>
      <c r="L9" s="1442" t="s">
        <v>360</v>
      </c>
      <c r="M9" s="1442" t="s">
        <v>4087</v>
      </c>
      <c r="N9" s="1442" t="s">
        <v>4087</v>
      </c>
      <c r="O9" s="1442" t="s">
        <v>4087</v>
      </c>
      <c r="P9" s="1444" t="s">
        <v>361</v>
      </c>
      <c r="Q9" s="1444" t="s">
        <v>359</v>
      </c>
      <c r="R9" s="1444" t="s">
        <v>359</v>
      </c>
      <c r="S9" s="1455" t="s">
        <v>361</v>
      </c>
      <c r="T9" s="1442" t="s">
        <v>361</v>
      </c>
      <c r="U9" s="1442" t="s">
        <v>361</v>
      </c>
      <c r="V9" s="1442" t="s">
        <v>361</v>
      </c>
      <c r="W9" s="1440" t="s">
        <v>361</v>
      </c>
      <c r="X9" s="1442" t="s">
        <v>362</v>
      </c>
      <c r="Y9" s="1444" t="s">
        <v>362</v>
      </c>
      <c r="Z9" s="1444" t="s">
        <v>363</v>
      </c>
      <c r="AA9" s="1440" t="s">
        <v>364</v>
      </c>
      <c r="AB9" s="1446"/>
      <c r="AC9" s="1446"/>
      <c r="AD9" s="1446"/>
      <c r="AE9" s="1447"/>
      <c r="AF9" s="1440" t="s">
        <v>364</v>
      </c>
      <c r="AG9" s="1446"/>
      <c r="AH9" s="1447"/>
    </row>
    <row r="10" spans="1:36" ht="6" customHeight="1">
      <c r="A10" s="1458"/>
      <c r="B10" s="1461"/>
      <c r="C10" s="1461"/>
      <c r="D10" s="1443"/>
      <c r="E10" s="1443"/>
      <c r="F10" s="1443"/>
      <c r="G10" s="1476"/>
      <c r="H10" s="1445"/>
      <c r="I10" s="1445"/>
      <c r="J10" s="1445"/>
      <c r="K10" s="1445"/>
      <c r="L10" s="1443"/>
      <c r="M10" s="1443"/>
      <c r="N10" s="1443"/>
      <c r="O10" s="1443"/>
      <c r="P10" s="1445"/>
      <c r="Q10" s="1445"/>
      <c r="R10" s="1445"/>
      <c r="S10" s="1456"/>
      <c r="T10" s="1443"/>
      <c r="U10" s="1443"/>
      <c r="V10" s="1443"/>
      <c r="W10" s="1441"/>
      <c r="X10" s="1443"/>
      <c r="Y10" s="1445"/>
      <c r="Z10" s="1445"/>
      <c r="AA10" s="1441"/>
      <c r="AB10" s="1448"/>
      <c r="AC10" s="1448"/>
      <c r="AD10" s="1448"/>
      <c r="AE10" s="1449"/>
      <c r="AF10" s="1441"/>
      <c r="AG10" s="1448"/>
      <c r="AH10" s="1449"/>
    </row>
    <row r="11" spans="1:36" ht="15.75" customHeight="1">
      <c r="A11" s="82" t="s">
        <v>365</v>
      </c>
      <c r="B11" s="83"/>
      <c r="C11" s="83"/>
      <c r="D11" s="83"/>
      <c r="E11" s="83"/>
      <c r="F11" s="83"/>
      <c r="G11" s="84"/>
      <c r="H11" s="84"/>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5"/>
    </row>
    <row r="12" spans="1:36" ht="15">
      <c r="A12" s="86" t="s">
        <v>366</v>
      </c>
      <c r="B12" s="43" t="s">
        <v>367</v>
      </c>
      <c r="C12" s="43" t="s">
        <v>368</v>
      </c>
      <c r="D12" s="1022" t="s">
        <v>369</v>
      </c>
      <c r="E12" s="1022">
        <f>ROUND((KvintaPl_Pt-Belaruskv)*Belarus*(1-D94),2)</f>
        <v>640</v>
      </c>
      <c r="F12" s="1021">
        <f>ROUND((KvintaPl_Sf-Belaruskv)*Belarus*(1-D94),2)</f>
        <v>663</v>
      </c>
      <c r="G12" s="1021" t="s">
        <v>369</v>
      </c>
      <c r="H12" s="1023">
        <f>ROUND((KvintaPl_Q-Belaruskv)*Belarus*(1-H94),2)</f>
        <v>710</v>
      </c>
      <c r="I12" s="1024">
        <f>ROUND((KvintaPl_Ql-Belaruskv)*Belarus*(1-H94),2)</f>
        <v>595</v>
      </c>
      <c r="J12" s="1024">
        <f>ROUND((KvintaPl_Vel-Belaruskv)*Belarus*(1-H94),2)</f>
        <v>585</v>
      </c>
      <c r="K12" s="1024">
        <f>ROUND((KvintaPl_Atl-Belaruskv)*Belarus*(1-H94),2)</f>
        <v>564</v>
      </c>
      <c r="L12" s="1022">
        <f>ROUND((KvintaPl_Pur-Belaruskv)*Belarus*(1-L94),2)</f>
        <v>802</v>
      </c>
      <c r="M12" s="1022">
        <f>ROUND((KvintaPl_Pdx-Belaruskv)*Belarus*(1-M94),2)</f>
        <v>541</v>
      </c>
      <c r="N12" s="1022">
        <f>ROUND((KvintaPl_Pdxmatt-Belaruskv)*Belarus*(1-N94),2)</f>
        <v>551</v>
      </c>
      <c r="O12" s="1022">
        <f>ROUND((KvintaPl_StBarhat-Belaruskv)*Belarus*(1-O94),2)</f>
        <v>515</v>
      </c>
      <c r="P12" s="1025" t="s">
        <v>369</v>
      </c>
      <c r="Q12" s="1024">
        <f>ROUND((KvintaPl_Dr-Belaruskv)*Belarus*(1-Q94),2)</f>
        <v>455</v>
      </c>
      <c r="R12" s="1024">
        <f>ROUND((KvintaPl_Sat-Belaruskv)*Belarus*(1-R94),2)</f>
        <v>439</v>
      </c>
      <c r="S12" s="1110" t="s">
        <v>369</v>
      </c>
      <c r="T12" s="1110" t="s">
        <v>369</v>
      </c>
      <c r="U12" s="1110" t="s">
        <v>369</v>
      </c>
      <c r="V12" s="1110" t="s">
        <v>369</v>
      </c>
      <c r="W12" s="1109">
        <f>ROUND((KvintaPl_Pe045-Belaruskv)*Belarus*(1-W94),2)</f>
        <v>401</v>
      </c>
      <c r="X12" s="1110" t="s">
        <v>369</v>
      </c>
      <c r="Y12" s="1024" t="s">
        <v>369</v>
      </c>
      <c r="Z12" s="1026" t="s">
        <v>369</v>
      </c>
      <c r="AA12" s="1027" t="s">
        <v>369</v>
      </c>
      <c r="AB12" s="1022" t="s">
        <v>369</v>
      </c>
      <c r="AC12" s="1022" t="s">
        <v>369</v>
      </c>
      <c r="AD12" s="1022" t="s">
        <v>369</v>
      </c>
      <c r="AE12" s="1022" t="s">
        <v>369</v>
      </c>
      <c r="AF12" s="1022" t="s">
        <v>369</v>
      </c>
      <c r="AG12" s="1022" t="s">
        <v>369</v>
      </c>
      <c r="AH12" s="1022" t="s">
        <v>369</v>
      </c>
    </row>
    <row r="13" spans="1:36" ht="15">
      <c r="A13" s="86" t="s">
        <v>6907</v>
      </c>
      <c r="B13" s="43" t="s">
        <v>367</v>
      </c>
      <c r="C13" s="43">
        <v>0.71499999999999997</v>
      </c>
      <c r="D13" s="1022" t="s">
        <v>369</v>
      </c>
      <c r="E13" s="1022">
        <f>ROUND((KvintaUno_Pt-Belaruskv)*Belarus*(1-D94),2)</f>
        <v>640</v>
      </c>
      <c r="F13" s="1021">
        <f>ROUND((KvintaUno_Sf-Belaruskv)*Belarus*(1-D94),2)</f>
        <v>663</v>
      </c>
      <c r="G13" s="1021" t="s">
        <v>369</v>
      </c>
      <c r="H13" s="1221">
        <f>ROUND((KvintaUno_Q-Belaruskv)*Belarus*(1-H94),2)</f>
        <v>710</v>
      </c>
      <c r="I13" s="1221">
        <f>ROUND((KvintaUno_Ql-Belaruskv)*Belarus*(1-H94),2)</f>
        <v>595</v>
      </c>
      <c r="J13" s="1222">
        <f>ROUND((KvintaUno_Vel-Belaruskv)*Belarus*(1-H94),2)</f>
        <v>585</v>
      </c>
      <c r="K13" s="1222">
        <f>ROUND((KvintaUno_Atl-Belaruskv)*Belarus*(1-H94),2)</f>
        <v>564</v>
      </c>
      <c r="L13" s="1022">
        <f>ROUND((KvintaUno_Pur-Belaruskv)*Belarus*(1-L94),2)</f>
        <v>802</v>
      </c>
      <c r="M13" s="1022">
        <f>ROUND((KvintaUno_Pdx-Belaruskv)*Belarus*(1-M94),2)</f>
        <v>541</v>
      </c>
      <c r="N13" s="1022" t="s">
        <v>369</v>
      </c>
      <c r="O13" s="1022">
        <f>ROUND((KvintaUno_StBarhat-Belaruskv)*Belarus*(1-O94),2)</f>
        <v>515</v>
      </c>
      <c r="P13" s="1025" t="s">
        <v>369</v>
      </c>
      <c r="Q13" s="1222">
        <f>ROUND((KvintaUno_Dr-Belaruskv)*Belarus*(1-Q94),2)</f>
        <v>455</v>
      </c>
      <c r="R13" s="1222">
        <f>ROUND((KvintaUno_Sat-Belaruskv)*Belarus*(1-R94),2)</f>
        <v>439</v>
      </c>
      <c r="S13" s="1110" t="s">
        <v>369</v>
      </c>
      <c r="T13" s="1110" t="s">
        <v>369</v>
      </c>
      <c r="U13" s="1110" t="s">
        <v>369</v>
      </c>
      <c r="V13" s="1110" t="s">
        <v>369</v>
      </c>
      <c r="W13" s="1021">
        <f>ROUND((KvintaUno_Pe045-Belaruskv)*Belarus*(1-W94),2)</f>
        <v>401</v>
      </c>
      <c r="X13" s="1110" t="s">
        <v>369</v>
      </c>
      <c r="Y13" s="1024" t="s">
        <v>369</v>
      </c>
      <c r="Z13" s="1026" t="s">
        <v>369</v>
      </c>
      <c r="AA13" s="1027" t="s">
        <v>369</v>
      </c>
      <c r="AB13" s="1022" t="s">
        <v>369</v>
      </c>
      <c r="AC13" s="1022" t="s">
        <v>369</v>
      </c>
      <c r="AD13" s="1022" t="s">
        <v>369</v>
      </c>
      <c r="AE13" s="1022" t="s">
        <v>369</v>
      </c>
      <c r="AF13" s="1022" t="s">
        <v>369</v>
      </c>
      <c r="AG13" s="1022" t="s">
        <v>369</v>
      </c>
      <c r="AH13" s="1022" t="s">
        <v>369</v>
      </c>
    </row>
    <row r="14" spans="1:36" ht="15">
      <c r="A14" s="86" t="s">
        <v>370</v>
      </c>
      <c r="B14" s="43" t="s">
        <v>371</v>
      </c>
      <c r="C14" s="43" t="s">
        <v>368</v>
      </c>
      <c r="D14" s="1022" t="s">
        <v>369</v>
      </c>
      <c r="E14" s="1022">
        <f>ROUND(Kamea_Pt*Belarus*(1-D94),2)</f>
        <v>615</v>
      </c>
      <c r="F14" s="1021">
        <f>ROUND(Kamea_Sf*Belarus*(1-D94),2)</f>
        <v>638</v>
      </c>
      <c r="G14" s="1021" t="s">
        <v>369</v>
      </c>
      <c r="H14" s="1023">
        <f>ROUND(Kamea_Q*Belarus*(1-H94),2)</f>
        <v>685</v>
      </c>
      <c r="I14" s="1024">
        <f>ROUND(Kamea_Ql*Belarus*(1-H94),2)</f>
        <v>570</v>
      </c>
      <c r="J14" s="1024">
        <f>ROUND(Kamea_Vel*Belarus*(1-H94),2)</f>
        <v>560</v>
      </c>
      <c r="K14" s="1024">
        <f>ROUND(Kamea_Atl*Belarus*(1-H94),2)</f>
        <v>539</v>
      </c>
      <c r="L14" s="1022">
        <f>ROUND(Kamea_Pur*Belarus*(1-L94),2)</f>
        <v>777</v>
      </c>
      <c r="M14" s="1022">
        <f>ROUND(Kamea_Pdx*Belarus*(1-M94),2)</f>
        <v>516</v>
      </c>
      <c r="N14" s="1022">
        <f>ROUND(Kamea_Pdxmatt*Belarus*(1-N94),2)</f>
        <v>526</v>
      </c>
      <c r="O14" s="1022">
        <f>ROUND(Kamea_StBarhat*Belarus*(1-O94),2)</f>
        <v>490</v>
      </c>
      <c r="P14" s="1025" t="s">
        <v>369</v>
      </c>
      <c r="Q14" s="1024">
        <f>ROUND(Kamea_Dr*Belarus*(1-Q94),2)</f>
        <v>430</v>
      </c>
      <c r="R14" s="1024">
        <f>ROUND(Kamea_Sat*Belarus*(1-R94),2)</f>
        <v>414</v>
      </c>
      <c r="S14" s="1110" t="s">
        <v>369</v>
      </c>
      <c r="T14" s="1110" t="s">
        <v>369</v>
      </c>
      <c r="U14" s="1110" t="s">
        <v>369</v>
      </c>
      <c r="V14" s="1110" t="s">
        <v>369</v>
      </c>
      <c r="W14" s="1109">
        <f>ROUND(Kamea_Pe045*Belarus*(1-W94),2)</f>
        <v>376</v>
      </c>
      <c r="X14" s="1110" t="s">
        <v>369</v>
      </c>
      <c r="Y14" s="1024" t="s">
        <v>369</v>
      </c>
      <c r="Z14" s="1026" t="s">
        <v>369</v>
      </c>
      <c r="AA14" s="1027" t="s">
        <v>369</v>
      </c>
      <c r="AB14" s="1022" t="s">
        <v>369</v>
      </c>
      <c r="AC14" s="1022" t="s">
        <v>369</v>
      </c>
      <c r="AD14" s="1022" t="s">
        <v>369</v>
      </c>
      <c r="AE14" s="1022" t="s">
        <v>369</v>
      </c>
      <c r="AF14" s="1022" t="s">
        <v>369</v>
      </c>
      <c r="AG14" s="1022" t="s">
        <v>369</v>
      </c>
      <c r="AH14" s="1022" t="s">
        <v>369</v>
      </c>
    </row>
    <row r="15" spans="1:36" ht="15">
      <c r="A15" s="86" t="s">
        <v>372</v>
      </c>
      <c r="B15" s="43" t="s">
        <v>373</v>
      </c>
      <c r="C15" s="44" t="s">
        <v>368</v>
      </c>
      <c r="D15" s="1022" t="s">
        <v>369</v>
      </c>
      <c r="E15" s="1022">
        <f>ROUND(Kredo_Pt*Belarus*(1-D94),2)</f>
        <v>615</v>
      </c>
      <c r="F15" s="1021">
        <f>ROUND(Kredo_Sf*Belarus*(1-D94),2)</f>
        <v>638</v>
      </c>
      <c r="G15" s="1021" t="s">
        <v>369</v>
      </c>
      <c r="H15" s="1023">
        <f>ROUND(Kredo_Q*Belarus*(1-H94),2)</f>
        <v>685</v>
      </c>
      <c r="I15" s="1024">
        <f>ROUND(Kredo_Ql*Belarus*(1-H94),2)</f>
        <v>570</v>
      </c>
      <c r="J15" s="1024">
        <f>ROUND(Kredo_Vel*Belarus*(1-H94),2)</f>
        <v>560</v>
      </c>
      <c r="K15" s="1024">
        <f>ROUND(Kredo_Atl*Belarus*(1-H94),2)</f>
        <v>539</v>
      </c>
      <c r="L15" s="1022">
        <f>ROUND(Kredo_Pur*Belarus*(1-L94),2)</f>
        <v>777</v>
      </c>
      <c r="M15" s="1022">
        <f>ROUND(Kredo_Pdx*Belarus*(1-M94),2)</f>
        <v>516</v>
      </c>
      <c r="N15" s="1022">
        <f>ROUND(Kredo_Pdxmatt*Belarus*(1-N94),2)</f>
        <v>526</v>
      </c>
      <c r="O15" s="1022">
        <f>ROUND(Kredo_StBarhat*Belarus*(1-O94),2)</f>
        <v>490</v>
      </c>
      <c r="P15" s="1025" t="str">
        <f>ROUND(Kredo_PtNN*Belarus*(1-P94),2)&amp;" НН"</f>
        <v>555 НН</v>
      </c>
      <c r="Q15" s="1024">
        <f>ROUND(Kredo_Dr*Belarus*(1-Q94),2)</f>
        <v>430</v>
      </c>
      <c r="R15" s="1024">
        <f>ROUND(Kredo_Sat*Belarus*(1-R94),2)</f>
        <v>414</v>
      </c>
      <c r="S15" s="1110" t="s">
        <v>369</v>
      </c>
      <c r="T15" s="1110" t="s">
        <v>369</v>
      </c>
      <c r="U15" s="1110" t="s">
        <v>369</v>
      </c>
      <c r="V15" s="1110" t="s">
        <v>369</v>
      </c>
      <c r="W15" s="1109">
        <f>ROUND(Kredo_Pe045*Belarus*(1-W94),2)</f>
        <v>376</v>
      </c>
      <c r="X15" s="1110" t="s">
        <v>369</v>
      </c>
      <c r="Y15" s="1024" t="s">
        <v>369</v>
      </c>
      <c r="Z15" s="1026" t="s">
        <v>369</v>
      </c>
      <c r="AA15" s="1027" t="s">
        <v>369</v>
      </c>
      <c r="AB15" s="1022" t="s">
        <v>369</v>
      </c>
      <c r="AC15" s="1022" t="s">
        <v>369</v>
      </c>
      <c r="AD15" s="1022" t="s">
        <v>369</v>
      </c>
      <c r="AE15" s="1022" t="s">
        <v>369</v>
      </c>
      <c r="AF15" s="1022" t="s">
        <v>369</v>
      </c>
      <c r="AG15" s="1022" t="s">
        <v>369</v>
      </c>
      <c r="AH15" s="1022" t="s">
        <v>369</v>
      </c>
    </row>
    <row r="16" spans="1:36" ht="33" customHeight="1">
      <c r="A16" s="86" t="s">
        <v>374</v>
      </c>
      <c r="B16" s="43" t="s">
        <v>375</v>
      </c>
      <c r="C16" s="44" t="s">
        <v>376</v>
      </c>
      <c r="D16" s="1022" t="s">
        <v>369</v>
      </c>
      <c r="E16" s="1022">
        <f>ROUND(Classic_Pt*Belarus*(1-D94),2)</f>
        <v>600</v>
      </c>
      <c r="F16" s="1021">
        <f>ROUND(Classic_Sf*Belarus*(1-D94),2)</f>
        <v>623</v>
      </c>
      <c r="G16" s="1021" t="s">
        <v>369</v>
      </c>
      <c r="H16" s="1023">
        <f>ROUND(Classic_Q*Belarus*(1-H94),2)</f>
        <v>670</v>
      </c>
      <c r="I16" s="1024">
        <f>ROUND(Classic_Ql*Belarus*(1-H94),2)</f>
        <v>555</v>
      </c>
      <c r="J16" s="1024">
        <f>ROUND(Classic_Vel*Belarus*(1-H94),2)</f>
        <v>545</v>
      </c>
      <c r="K16" s="1024">
        <f>ROUND(Classic_Atl*Belarus*(1-H94),2)</f>
        <v>524</v>
      </c>
      <c r="L16" s="1022">
        <f>ROUND(Classic_Pur*Belarus*(1-L94),2)</f>
        <v>762</v>
      </c>
      <c r="M16" s="1022">
        <f>ROUND(Classic_Pdx*Belarus*(1-M94),2)</f>
        <v>501</v>
      </c>
      <c r="N16" s="1022">
        <f>ROUND(Classic_Pdxmatt*Belarus*(1-N94),2)</f>
        <v>511</v>
      </c>
      <c r="O16" s="1022">
        <f>ROUND(Classic_StBarhat*Belarus*(1-O94),2)</f>
        <v>475</v>
      </c>
      <c r="P16" s="1025" t="str">
        <f>ROUND(Classic_PtNN*Belarus*(1-P94),2)&amp;" НН"</f>
        <v>540 НН</v>
      </c>
      <c r="Q16" s="1024">
        <f>ROUND(Classic_Dr*Belarus*(1-Q94),2)</f>
        <v>415</v>
      </c>
      <c r="R16" s="1024">
        <f>ROUND(Classic_Sat*Belarus*(1-R94),2)</f>
        <v>399</v>
      </c>
      <c r="S16" s="1110" t="s">
        <v>369</v>
      </c>
      <c r="T16" s="1110" t="s">
        <v>369</v>
      </c>
      <c r="U16" s="1110" t="s">
        <v>369</v>
      </c>
      <c r="V16" s="1110" t="s">
        <v>369</v>
      </c>
      <c r="W16" s="1109">
        <f>ROUND(Classic_Pe045*Belarus*(1-W94),2)</f>
        <v>361</v>
      </c>
      <c r="X16" s="1188" t="str">
        <f>ROUND(Classic_Pe04*Belarus*(1-X94),2)&amp;" кроме Врн"</f>
        <v>349 кроме Врн</v>
      </c>
      <c r="Y16" s="1024" t="s">
        <v>369</v>
      </c>
      <c r="Z16" s="1026" t="s">
        <v>369</v>
      </c>
      <c r="AA16" s="1027" t="s">
        <v>369</v>
      </c>
      <c r="AB16" s="1022" t="s">
        <v>369</v>
      </c>
      <c r="AC16" s="1022" t="s">
        <v>369</v>
      </c>
      <c r="AD16" s="1022" t="s">
        <v>369</v>
      </c>
      <c r="AE16" s="1022" t="s">
        <v>369</v>
      </c>
      <c r="AF16" s="1022" t="s">
        <v>369</v>
      </c>
      <c r="AG16" s="1022" t="s">
        <v>369</v>
      </c>
      <c r="AH16" s="1022" t="s">
        <v>369</v>
      </c>
    </row>
    <row r="17" spans="1:34" ht="15">
      <c r="A17" s="102" t="s">
        <v>6563</v>
      </c>
      <c r="B17" s="329" t="s">
        <v>6712</v>
      </c>
      <c r="C17" s="44" t="s">
        <v>368</v>
      </c>
      <c r="D17" s="1022" t="s">
        <v>369</v>
      </c>
      <c r="E17" s="1110" t="s">
        <v>369</v>
      </c>
      <c r="F17" s="1109" t="s">
        <v>369</v>
      </c>
      <c r="G17" s="1021" t="s">
        <v>369</v>
      </c>
      <c r="H17" s="1023">
        <f>ROUND((ClassicPl_Q-Belarusclplus)*Belarus*(1-H94),2)</f>
        <v>710</v>
      </c>
      <c r="I17" s="1024">
        <f>ROUND((ClassicPl_Ql-Belarusclplus)*Belarus*(1-H94),2)</f>
        <v>595</v>
      </c>
      <c r="J17" s="1024">
        <f>ROUND((ClassicPl_Vel-Belarusclplus)*Belarus*(1-H94),2)</f>
        <v>585</v>
      </c>
      <c r="K17" s="1024">
        <f>ROUND((ClassicPl_Atl-Belarusclplus)*Belarus*(1-H95),2)</f>
        <v>564</v>
      </c>
      <c r="L17" s="1022">
        <f>ROUND((ClassicPl_Pur-Belarusclplus)*Belarus*(1-L94),2)</f>
        <v>802</v>
      </c>
      <c r="M17" s="1022">
        <f>ROUND((ClassicPl_Pdx-Belarusclplus)*Belarus*(1-M94),2)</f>
        <v>541</v>
      </c>
      <c r="N17" s="1022" t="s">
        <v>369</v>
      </c>
      <c r="O17" s="1022">
        <f>ROUND((ClassicPl_StBarhat-Belarusclplus)*Belarus*(1-O94),2)</f>
        <v>515</v>
      </c>
      <c r="P17" s="1025" t="s">
        <v>369</v>
      </c>
      <c r="Q17" s="1024">
        <f>ROUND((ClassicPl_Dr-Belarusclplus)*Belarus*(1-Q94),2)</f>
        <v>455</v>
      </c>
      <c r="R17" s="1024">
        <f>ROUND((ClassicPl_Sat-Belarusclplus)*Belarus*(1-R94),2)</f>
        <v>439</v>
      </c>
      <c r="S17" s="1110" t="s">
        <v>369</v>
      </c>
      <c r="T17" s="1110" t="s">
        <v>369</v>
      </c>
      <c r="U17" s="1110" t="s">
        <v>369</v>
      </c>
      <c r="V17" s="1110" t="s">
        <v>369</v>
      </c>
      <c r="W17" s="1109" t="s">
        <v>369</v>
      </c>
      <c r="X17" s="1022" t="s">
        <v>369</v>
      </c>
      <c r="Y17" s="1024" t="s">
        <v>369</v>
      </c>
      <c r="Z17" s="1026" t="s">
        <v>369</v>
      </c>
      <c r="AA17" s="1027" t="s">
        <v>369</v>
      </c>
      <c r="AB17" s="1022" t="s">
        <v>369</v>
      </c>
      <c r="AC17" s="1022" t="s">
        <v>369</v>
      </c>
      <c r="AD17" s="1022" t="s">
        <v>369</v>
      </c>
      <c r="AE17" s="1022" t="s">
        <v>369</v>
      </c>
      <c r="AF17" s="1022" t="s">
        <v>369</v>
      </c>
      <c r="AG17" s="1022" t="s">
        <v>369</v>
      </c>
      <c r="AH17" s="1022" t="s">
        <v>369</v>
      </c>
    </row>
    <row r="18" spans="1:34" ht="25.5">
      <c r="A18" s="86" t="s">
        <v>377</v>
      </c>
      <c r="B18" s="43" t="s">
        <v>375</v>
      </c>
      <c r="C18" s="44" t="s">
        <v>376</v>
      </c>
      <c r="D18" s="1022" t="s">
        <v>369</v>
      </c>
      <c r="E18" s="1022" t="s">
        <v>369</v>
      </c>
      <c r="F18" s="1021" t="s">
        <v>369</v>
      </c>
      <c r="G18" s="1021" t="s">
        <v>369</v>
      </c>
      <c r="H18" s="1023" t="s">
        <v>369</v>
      </c>
      <c r="I18" s="1024" t="s">
        <v>369</v>
      </c>
      <c r="J18" s="1024" t="s">
        <v>369</v>
      </c>
      <c r="K18" s="1024" t="s">
        <v>369</v>
      </c>
      <c r="L18" s="1022" t="s">
        <v>369</v>
      </c>
      <c r="M18" s="1022" t="s">
        <v>369</v>
      </c>
      <c r="N18" s="1022" t="s">
        <v>369</v>
      </c>
      <c r="O18" s="1022" t="s">
        <v>369</v>
      </c>
      <c r="P18" s="1025" t="s">
        <v>369</v>
      </c>
      <c r="Q18" s="1024">
        <f>ROUND(Modern_Dr*Belarus*(1-Q94),2)</f>
        <v>415</v>
      </c>
      <c r="R18" s="1024" t="s">
        <v>369</v>
      </c>
      <c r="S18" s="1110" t="s">
        <v>369</v>
      </c>
      <c r="T18" s="1110" t="s">
        <v>369</v>
      </c>
      <c r="U18" s="1110" t="s">
        <v>369</v>
      </c>
      <c r="V18" s="1110" t="s">
        <v>369</v>
      </c>
      <c r="W18" s="1109">
        <f>ROUND(Modern_Pe045*Belarus*(1-W94),2)</f>
        <v>361</v>
      </c>
      <c r="X18" s="1022">
        <f>ROUND(Modern_Pe04*Belarus*(1-X94),2)</f>
        <v>349</v>
      </c>
      <c r="Y18" s="1024" t="s">
        <v>369</v>
      </c>
      <c r="Z18" s="1026" t="s">
        <v>369</v>
      </c>
      <c r="AA18" s="1156" t="s">
        <v>369</v>
      </c>
      <c r="AB18" s="1110" t="s">
        <v>369</v>
      </c>
      <c r="AC18" s="1110" t="s">
        <v>369</v>
      </c>
      <c r="AD18" s="1110" t="s">
        <v>369</v>
      </c>
      <c r="AE18" s="1110" t="s">
        <v>369</v>
      </c>
      <c r="AF18" s="1110" t="s">
        <v>369</v>
      </c>
      <c r="AG18" s="1110" t="s">
        <v>369</v>
      </c>
      <c r="AH18" s="1022" t="s">
        <v>369</v>
      </c>
    </row>
    <row r="19" spans="1:34" ht="15">
      <c r="A19" s="86" t="s">
        <v>3706</v>
      </c>
      <c r="B19" s="43" t="s">
        <v>378</v>
      </c>
      <c r="C19" s="43" t="s">
        <v>379</v>
      </c>
      <c r="D19" s="1022" t="s">
        <v>369</v>
      </c>
      <c r="E19" s="1022">
        <f>ROUND(Sofit_Pt*Belarus*(1-D99),2)</f>
        <v>946</v>
      </c>
      <c r="F19" s="1021">
        <f>ROUND(Sofit_Sf*Belarus*(1-D99),2)</f>
        <v>1004</v>
      </c>
      <c r="G19" s="1021" t="s">
        <v>369</v>
      </c>
      <c r="H19" s="1023">
        <f>ROUND(Sofit_Q*Belarus*(1-D99),2)</f>
        <v>1015</v>
      </c>
      <c r="I19" s="1024">
        <f>ROUND(Sofit_Ql*Belarus*(1-D99),2)</f>
        <v>861</v>
      </c>
      <c r="J19" s="1024">
        <f>ROUND(Sofit_Vel*Belarus*(1-D99),2)</f>
        <v>838</v>
      </c>
      <c r="K19" s="1024">
        <f>ROUND(Sofit_Atl*Belarus*(1-D99),2)</f>
        <v>808</v>
      </c>
      <c r="L19" s="1022">
        <f>ROUND(Sofit_Pur*Belarus*(1-D99),2)</f>
        <v>1245</v>
      </c>
      <c r="M19" s="1022">
        <f>ROUND(Sofit_Pdx*Belarus*(1-D99),2)</f>
        <v>805</v>
      </c>
      <c r="N19" s="1022">
        <f>ROUND(Sofit_Pdxmatt*Belarus*(1-D99),2)</f>
        <v>815</v>
      </c>
      <c r="O19" s="1022">
        <f>ROUND(Sofit_StBarhat*Belarus*(1-D99),2)</f>
        <v>767</v>
      </c>
      <c r="P19" s="1025" t="s">
        <v>369</v>
      </c>
      <c r="Q19" s="1024">
        <f>ROUND(Sofit_Dr*Belarus*(1-D99),2)</f>
        <v>648</v>
      </c>
      <c r="R19" s="1024">
        <f>ROUND(Sofit_Sat*Belarus*(1-D99),2)</f>
        <v>681</v>
      </c>
      <c r="S19" s="1110" t="s">
        <v>369</v>
      </c>
      <c r="T19" s="1110" t="s">
        <v>369</v>
      </c>
      <c r="U19" s="1110" t="s">
        <v>369</v>
      </c>
      <c r="V19" s="1110" t="s">
        <v>369</v>
      </c>
      <c r="W19" s="1109">
        <f>ROUND(Sofit_Pe045*Belarus*(1-D99),2)</f>
        <v>620</v>
      </c>
      <c r="X19" s="1022" t="s">
        <v>369</v>
      </c>
      <c r="Y19" s="1024" t="s">
        <v>369</v>
      </c>
      <c r="Z19" s="1026" t="s">
        <v>369</v>
      </c>
      <c r="AA19" s="1156" t="s">
        <v>369</v>
      </c>
      <c r="AB19" s="1110" t="s">
        <v>369</v>
      </c>
      <c r="AC19" s="1110" t="s">
        <v>369</v>
      </c>
      <c r="AD19" s="1110" t="s">
        <v>369</v>
      </c>
      <c r="AE19" s="1110" t="s">
        <v>369</v>
      </c>
      <c r="AF19" s="1110" t="s">
        <v>369</v>
      </c>
      <c r="AG19" s="1110" t="s">
        <v>369</v>
      </c>
      <c r="AH19" s="1022" t="s">
        <v>369</v>
      </c>
    </row>
    <row r="20" spans="1:34" ht="30">
      <c r="A20" s="86" t="s">
        <v>3707</v>
      </c>
      <c r="B20" s="44" t="s">
        <v>380</v>
      </c>
      <c r="C20" s="43" t="s">
        <v>381</v>
      </c>
      <c r="D20" s="1022" t="s">
        <v>369</v>
      </c>
      <c r="E20" s="1022">
        <f>ROUND(Falz2_Pt*Belarus*(1-D94),2)</f>
        <v>585</v>
      </c>
      <c r="F20" s="1021">
        <f>ROUND(Falz2_Sf*Belarus*(1-D94),2)</f>
        <v>626</v>
      </c>
      <c r="G20" s="1021" t="s">
        <v>369</v>
      </c>
      <c r="H20" s="1023">
        <f>ROUND(Falz2_Q*Belarus*(1-H94),2)</f>
        <v>656</v>
      </c>
      <c r="I20" s="1024">
        <f>ROUND(Falz2_Ql*Belarus*(1-H94),2)</f>
        <v>564</v>
      </c>
      <c r="J20" s="1024">
        <f>ROUND(Falz2_Vel*Belarus*(1-H94),2)</f>
        <v>553</v>
      </c>
      <c r="K20" s="1024">
        <f>ROUND(Falz2_Atl*Belarus*(1-H94),2)</f>
        <v>533</v>
      </c>
      <c r="L20" s="1022">
        <f>ROUND(Falz2_Pur*Belarus*(1-L94),2)</f>
        <v>733</v>
      </c>
      <c r="M20" s="1022">
        <f>ROUND(Falz2_Pdx*Belarus*(1-M94),2)</f>
        <v>505</v>
      </c>
      <c r="N20" s="1022">
        <f>ROUND(Falz2_Pdxmatt*Belarus*(1-N94),2)</f>
        <v>515</v>
      </c>
      <c r="O20" s="1022">
        <f>ROUND(Falz2_StBarhat*Belarus*(1-O94),2)</f>
        <v>482</v>
      </c>
      <c r="P20" s="1028" t="s">
        <v>369</v>
      </c>
      <c r="Q20" s="1024">
        <f>ROUND(Falz2_Dr*Belarus*(1-Q95),2)</f>
        <v>420</v>
      </c>
      <c r="R20" s="1024">
        <f>ROUND(Falz2_Sat*Belarus*(1-R95),2)</f>
        <v>409</v>
      </c>
      <c r="S20" s="1110" t="s">
        <v>369</v>
      </c>
      <c r="T20" s="1110" t="s">
        <v>369</v>
      </c>
      <c r="U20" s="1110">
        <f>ROUND(Falz2_Pe07*Belarus*(1-U95),2)</f>
        <v>541</v>
      </c>
      <c r="V20" s="1110">
        <f>ROUND(Falz2_Pe065*Belarus*(1-V95),2)</f>
        <v>523</v>
      </c>
      <c r="W20" s="1109">
        <f>ROUND(Falz2_Pe045*Belarus*(1-W95),2)</f>
        <v>377</v>
      </c>
      <c r="X20" s="1022" t="s">
        <v>369</v>
      </c>
      <c r="Y20" s="1024" t="s">
        <v>369</v>
      </c>
      <c r="Z20" s="1026" t="s">
        <v>369</v>
      </c>
      <c r="AA20" s="1156" t="s">
        <v>369</v>
      </c>
      <c r="AB20" s="1110" t="s">
        <v>369</v>
      </c>
      <c r="AC20" s="1110" t="str">
        <f>ROUND(Falz2_Zn045*Belarus*(1-AC95),2)&amp;" СПБ"</f>
        <v>300 СПБ</v>
      </c>
      <c r="AD20" s="1110" t="str">
        <f>ROUND(Falz2_Zn05*Belarus*(1-AD95),2)&amp;" СПБ"</f>
        <v>321 СПБ</v>
      </c>
      <c r="AE20" s="1110">
        <f>ROUND(Falz2_Zn055*Belarus*(1-AE95),2)</f>
        <v>361</v>
      </c>
      <c r="AF20" s="1110">
        <f>ROUND(Falz2_Zn07*Belarus*(1-AF95),2)</f>
        <v>429</v>
      </c>
      <c r="AG20" s="1110" t="s">
        <v>369</v>
      </c>
      <c r="AH20" s="1022" t="s">
        <v>369</v>
      </c>
    </row>
    <row r="21" spans="1:34" ht="30">
      <c r="A21" s="86" t="s">
        <v>3708</v>
      </c>
      <c r="B21" s="43" t="s">
        <v>382</v>
      </c>
      <c r="C21" s="43" t="s">
        <v>381</v>
      </c>
      <c r="D21" s="1022" t="s">
        <v>369</v>
      </c>
      <c r="E21" s="1022">
        <f>ROUND(Klik_Pt*Belarus*(1-D94),2)</f>
        <v>675</v>
      </c>
      <c r="F21" s="1021">
        <f>ROUND(Klik_Sf*Belarus*(1-D94),2)</f>
        <v>722</v>
      </c>
      <c r="G21" s="1021" t="s">
        <v>369</v>
      </c>
      <c r="H21" s="1023">
        <f>ROUND(Klik_Q*Belarus*(1-H94),2)</f>
        <v>756</v>
      </c>
      <c r="I21" s="1024">
        <f>ROUND(Klik_Ql*Belarus*(1-H94),2)</f>
        <v>650</v>
      </c>
      <c r="J21" s="1024">
        <f>ROUND(Klik_Vel*Belarus*(1-H94),2)</f>
        <v>638</v>
      </c>
      <c r="K21" s="1024">
        <f>ROUND(Klik_Atl*Belarus*(1-H94),2)</f>
        <v>615</v>
      </c>
      <c r="L21" s="1022" t="s">
        <v>369</v>
      </c>
      <c r="M21" s="1022">
        <f>ROUND(Klik_Pdx*Belarus*(1-M94),2)</f>
        <v>582</v>
      </c>
      <c r="N21" s="1022">
        <f>ROUND(Klik_Pdxmatt*Belarus*(1-N94),2)</f>
        <v>592</v>
      </c>
      <c r="O21" s="1022">
        <f>ROUND(Klik_StBarhat*Belarus*(1-O94),2)</f>
        <v>556</v>
      </c>
      <c r="P21" s="1028" t="s">
        <v>369</v>
      </c>
      <c r="Q21" s="1024">
        <f>ROUND(Klik_Dr*Belarus*(1-Q95),2)</f>
        <v>484</v>
      </c>
      <c r="R21" s="1024">
        <f>ROUND(Klik_Sat*Belarus*(1-R95),2)</f>
        <v>472</v>
      </c>
      <c r="S21" s="1110" t="s">
        <v>369</v>
      </c>
      <c r="T21" s="1110" t="s">
        <v>369</v>
      </c>
      <c r="U21" s="1110">
        <f>ROUND(Klik_Pe07*Belarus*(1-U95),2)</f>
        <v>623</v>
      </c>
      <c r="V21" s="1110">
        <f>ROUND(Klik_Pe065*Belarus*(1-V95),2)</f>
        <v>603</v>
      </c>
      <c r="W21" s="1109">
        <f>ROUND(Klik_Pe045*Belarus*(1-W95),2)</f>
        <v>435</v>
      </c>
      <c r="X21" s="1022" t="s">
        <v>369</v>
      </c>
      <c r="Y21" s="1024" t="s">
        <v>369</v>
      </c>
      <c r="Z21" s="1029" t="s">
        <v>369</v>
      </c>
      <c r="AA21" s="1157" t="s">
        <v>369</v>
      </c>
      <c r="AB21" s="1158" t="s">
        <v>369</v>
      </c>
      <c r="AC21" s="1110" t="str">
        <f>ROUND(Klik_Zn045*Belarus*(1-AC95),2)&amp;" СПБ"</f>
        <v>346 СПБ</v>
      </c>
      <c r="AD21" s="1110" t="str">
        <f>ROUND(Klik_Zn05*Belarus*(1-AD95),2)&amp;" СПБ"</f>
        <v>370 СПБ</v>
      </c>
      <c r="AE21" s="1158">
        <f>ROUND(Klik_Zn055*Belarus*(1-AE95),2)</f>
        <v>416</v>
      </c>
      <c r="AF21" s="1158">
        <f>ROUND(Klik_Zn07*Belarus*(1-AF95),2)</f>
        <v>495</v>
      </c>
      <c r="AG21" s="1158" t="s">
        <v>369</v>
      </c>
      <c r="AH21" s="1030" t="s">
        <v>369</v>
      </c>
    </row>
    <row r="22" spans="1:34" ht="24.75" customHeight="1">
      <c r="A22" s="95" t="s">
        <v>6851</v>
      </c>
      <c r="B22" s="44" t="s">
        <v>384</v>
      </c>
      <c r="C22" s="43" t="s">
        <v>381</v>
      </c>
      <c r="D22" s="1022" t="s">
        <v>369</v>
      </c>
      <c r="E22" s="1022">
        <f>ROUND(Klik_mini_Pt*Belarus*(1-D94),2)</f>
        <v>730</v>
      </c>
      <c r="F22" s="1021">
        <f>ROUND(Klik_mini_Sf*Belarus*(1-D94),2)</f>
        <v>782</v>
      </c>
      <c r="G22" s="1021" t="s">
        <v>369</v>
      </c>
      <c r="H22" s="1023">
        <f>ROUND(Klik_mini_Q*Belarus*(1-H94),2)</f>
        <v>819</v>
      </c>
      <c r="I22" s="1024">
        <f>ROUND(Klik_mini_Ql*Belarus*(1-H94),2)</f>
        <v>704</v>
      </c>
      <c r="J22" s="1024">
        <f>ROUND(Klik_mini_Vel*Belarus*(1-H94),2)</f>
        <v>691</v>
      </c>
      <c r="K22" s="1024">
        <f>ROUND(Klik_mini_Atl*Belarus*(1-H94),2)</f>
        <v>667</v>
      </c>
      <c r="L22" s="1022" t="s">
        <v>369</v>
      </c>
      <c r="M22" s="1022">
        <f>ROUND(Klik_mini_Pdx*Belarus*(1-M94),2)</f>
        <v>631</v>
      </c>
      <c r="N22" s="1022">
        <f>ROUND(Klik_mini_Pdxmatt*Belarus*(1-N94),2)</f>
        <v>641</v>
      </c>
      <c r="O22" s="1022">
        <f>ROUND(Klik_mini_StBarhat*Belarus*(1-O94),2)</f>
        <v>603</v>
      </c>
      <c r="P22" s="1028" t="s">
        <v>369</v>
      </c>
      <c r="Q22" s="1024">
        <f>ROUND(Klik_mini_Dr*Belarus*(1-Q95),2)</f>
        <v>524</v>
      </c>
      <c r="R22" s="1024">
        <f>ROUND(Klik_mini_Sat*Belarus*(1-R95),2)</f>
        <v>511</v>
      </c>
      <c r="S22" s="1110" t="s">
        <v>369</v>
      </c>
      <c r="T22" s="1110" t="s">
        <v>369</v>
      </c>
      <c r="U22" s="1110">
        <f>ROUND(Klik_mini_Pe07*Belarus*(1-U95),2)</f>
        <v>675</v>
      </c>
      <c r="V22" s="1110">
        <f>ROUND(Klik_mini_Pe065*Belarus*(1-V95),2)</f>
        <v>654</v>
      </c>
      <c r="W22" s="1109">
        <f>ROUND(Klik_mini_Pe045*Belarus*(1-W95),2)</f>
        <v>471</v>
      </c>
      <c r="X22" s="1110" t="s">
        <v>369</v>
      </c>
      <c r="Y22" s="1024" t="s">
        <v>369</v>
      </c>
      <c r="Z22" s="1026" t="s">
        <v>369</v>
      </c>
      <c r="AA22" s="1156" t="s">
        <v>369</v>
      </c>
      <c r="AB22" s="1110" t="s">
        <v>369</v>
      </c>
      <c r="AC22" s="1110" t="s">
        <v>369</v>
      </c>
      <c r="AD22" s="1110" t="s">
        <v>369</v>
      </c>
      <c r="AE22" s="1110">
        <f>ROUND(Klik_mini_Zn055*Belarus*(1-AE95),2)</f>
        <v>451</v>
      </c>
      <c r="AF22" s="1110">
        <f>ROUND(Klik_mini_Zn07*Belarus*(1-AF95),2)</f>
        <v>536</v>
      </c>
      <c r="AG22" s="1110" t="s">
        <v>369</v>
      </c>
      <c r="AH22" s="1022" t="s">
        <v>369</v>
      </c>
    </row>
    <row r="23" spans="1:34" s="96" customFormat="1" ht="18" customHeight="1">
      <c r="A23" s="82" t="s">
        <v>385</v>
      </c>
      <c r="B23" s="83"/>
      <c r="C23" s="83"/>
      <c r="D23" s="457"/>
      <c r="E23" s="457"/>
      <c r="F23" s="457"/>
      <c r="G23" s="1031"/>
      <c r="H23" s="1031"/>
      <c r="I23" s="457"/>
      <c r="J23" s="45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8"/>
    </row>
    <row r="24" spans="1:34" ht="15">
      <c r="A24" s="97" t="s">
        <v>93</v>
      </c>
      <c r="B24" s="98" t="s">
        <v>386</v>
      </c>
      <c r="C24" s="43" t="s">
        <v>387</v>
      </c>
      <c r="D24" s="1022">
        <f>ROUND(PnC8_Ptdp*Belarus*(1-D94),2)</f>
        <v>688</v>
      </c>
      <c r="E24" s="1022">
        <f>ROUND(PnC8_Pt*Belarus*(1-D94),2)</f>
        <v>570</v>
      </c>
      <c r="F24" s="1021">
        <f>ROUND(PnC8_Sf*Belarus*(1-D94),2)</f>
        <v>597</v>
      </c>
      <c r="G24" s="1021">
        <f>ROUND(PnC8_Ptdach*Belarus*(1-G94),2)</f>
        <v>484</v>
      </c>
      <c r="H24" s="1023">
        <f>ROUND(PnC8_Q*Belarus*(1-H94),2)</f>
        <v>628</v>
      </c>
      <c r="I24" s="1024">
        <f>ROUND(PnC8_Ql*Belarus*(1-H94),2)</f>
        <v>532</v>
      </c>
      <c r="J24" s="1024">
        <f>ROUND(PnC8_Vel*Belarus*(1-H94),2)</f>
        <v>521</v>
      </c>
      <c r="K24" s="1024">
        <f>ROUND(PnC8_Atl*Belarus*(1-H94),2)</f>
        <v>500</v>
      </c>
      <c r="L24" s="1022">
        <f>ROUND(PnC8_Pur*Belarus*(1-L94),2)</f>
        <v>709</v>
      </c>
      <c r="M24" s="1022">
        <f>ROUND(PnC8_Pdx*Belarus*(1-M94),2)</f>
        <v>471</v>
      </c>
      <c r="N24" s="1022">
        <f>ROUND(PnC8_Pdxmatt*Belarus*(1-N94),2)</f>
        <v>481</v>
      </c>
      <c r="O24" s="1022">
        <f>ROUND(PnC8_StBarhat*Belarus*(1-O94),2)</f>
        <v>447</v>
      </c>
      <c r="P24" s="1032" t="str">
        <f>ROUND(PnC8_PtNN*Belarus*(1-P94),2)&amp;" НН"</f>
        <v>502 НН</v>
      </c>
      <c r="Q24" s="1024">
        <f>ROUND(PnC8_Dr*Belarus*(1-Q96),2)</f>
        <v>382</v>
      </c>
      <c r="R24" s="1024">
        <f>ROUND(PnC8_Sat*Belarus*(1-R96),2)</f>
        <v>371</v>
      </c>
      <c r="S24" s="1110">
        <f>ROUND(PnC8_PEdp*Belarus*(1-S96),2)</f>
        <v>367</v>
      </c>
      <c r="T24" s="1110" t="s">
        <v>369</v>
      </c>
      <c r="U24" s="1110" t="s">
        <v>369</v>
      </c>
      <c r="V24" s="1110" t="s">
        <v>369</v>
      </c>
      <c r="W24" s="1109">
        <f>ROUND(PnC8_Pe045*Belarus*(1-W96),2)</f>
        <v>338</v>
      </c>
      <c r="X24" s="1022">
        <f>ROUND(PnC8_Pe04*Belarus*(1-X96),2)</f>
        <v>314</v>
      </c>
      <c r="Y24" s="1024">
        <f>ROUND(PnC8_dachPr*Belarus*(1-Y96),2)</f>
        <v>267</v>
      </c>
      <c r="Z24" s="1057">
        <f>ROUND(PnC8_dachSk*Belarus*(1-Z96),2)</f>
        <v>260</v>
      </c>
      <c r="AA24" s="1159">
        <f>ROUND(PnC8_Zn035*Belarus*(1-AA96),2)</f>
        <v>208</v>
      </c>
      <c r="AB24" s="1160">
        <f>ROUND(PnC8_Zn04*Belarus*(1-AB96),2)</f>
        <v>226</v>
      </c>
      <c r="AC24" s="1160">
        <f>ROUND(PnC8_Zn045*Belarus*(1-AC96),2)</f>
        <v>257</v>
      </c>
      <c r="AD24" s="1160">
        <f>ROUND(PnC8_Zn05*Belarus*(1-AD96),2)</f>
        <v>279</v>
      </c>
      <c r="AE24" s="1160">
        <f>ROUND(PnC8_Zn055*Belarus*(1-AE96),2)</f>
        <v>321</v>
      </c>
      <c r="AF24" s="1160" t="s">
        <v>369</v>
      </c>
      <c r="AG24" s="1160" t="s">
        <v>369</v>
      </c>
      <c r="AH24" s="1160" t="s">
        <v>369</v>
      </c>
    </row>
    <row r="25" spans="1:34" ht="15">
      <c r="A25" s="97" t="s">
        <v>6916</v>
      </c>
      <c r="B25" s="98" t="s">
        <v>6858</v>
      </c>
      <c r="C25" s="43">
        <v>2</v>
      </c>
      <c r="D25" s="1022" t="s">
        <v>369</v>
      </c>
      <c r="E25" s="1022" t="s">
        <v>369</v>
      </c>
      <c r="F25" s="1021" t="s">
        <v>369</v>
      </c>
      <c r="G25" s="1021" t="s">
        <v>369</v>
      </c>
      <c r="H25" s="1023" t="s">
        <v>369</v>
      </c>
      <c r="I25" s="1023" t="s">
        <v>369</v>
      </c>
      <c r="J25" s="1023" t="s">
        <v>369</v>
      </c>
      <c r="K25" s="1023" t="s">
        <v>369</v>
      </c>
      <c r="L25" s="1021" t="s">
        <v>369</v>
      </c>
      <c r="M25" s="1021" t="s">
        <v>369</v>
      </c>
      <c r="N25" s="1021" t="s">
        <v>369</v>
      </c>
      <c r="O25" s="1021" t="s">
        <v>369</v>
      </c>
      <c r="P25" s="1023" t="s">
        <v>369</v>
      </c>
      <c r="Q25" s="1023" t="s">
        <v>369</v>
      </c>
      <c r="R25" s="1023" t="s">
        <v>369</v>
      </c>
      <c r="S25" s="1021" t="s">
        <v>369</v>
      </c>
      <c r="T25" s="1021" t="s">
        <v>369</v>
      </c>
      <c r="U25" s="1021" t="s">
        <v>369</v>
      </c>
      <c r="V25" s="1021" t="s">
        <v>369</v>
      </c>
      <c r="W25" s="1021" t="str">
        <f>ROUND(PnC8Uno_Pe045*Belarus*(1-W96),2)&amp;" (11)"</f>
        <v>341 (11)</v>
      </c>
      <c r="X25" s="1021" t="s">
        <v>369</v>
      </c>
      <c r="Y25" s="1024" t="s">
        <v>369</v>
      </c>
      <c r="Z25" s="1057" t="s">
        <v>369</v>
      </c>
      <c r="AA25" s="1021" t="s">
        <v>369</v>
      </c>
      <c r="AB25" s="1021" t="s">
        <v>369</v>
      </c>
      <c r="AC25" s="1021" t="s">
        <v>369</v>
      </c>
      <c r="AD25" s="1021" t="s">
        <v>369</v>
      </c>
      <c r="AE25" s="1021" t="s">
        <v>369</v>
      </c>
      <c r="AF25" s="1021" t="s">
        <v>369</v>
      </c>
      <c r="AG25" s="1021" t="s">
        <v>369</v>
      </c>
      <c r="AH25" s="1022" t="s">
        <v>369</v>
      </c>
    </row>
    <row r="26" spans="1:34" ht="30">
      <c r="A26" s="86" t="s">
        <v>98</v>
      </c>
      <c r="B26" s="98" t="s">
        <v>388</v>
      </c>
      <c r="C26" s="43" t="s">
        <v>387</v>
      </c>
      <c r="D26" s="1022">
        <f>ROUND(PnC10_Ptdp*Belarus*(1-D94),2)</f>
        <v>702</v>
      </c>
      <c r="E26" s="1022">
        <f>ROUND(PnC10_Pt*Belarus*(1-D94),2)</f>
        <v>581</v>
      </c>
      <c r="F26" s="1021">
        <f>ROUND(PnC10_Sf*Belarus*(1-D94),2)</f>
        <v>609</v>
      </c>
      <c r="G26" s="1021">
        <f>ROUND(PnC10_Ptdach*Belarus*(1-G94),2)</f>
        <v>494</v>
      </c>
      <c r="H26" s="1023">
        <f>ROUND(PnC10_Q*Belarus*(1-H94),2)</f>
        <v>641</v>
      </c>
      <c r="I26" s="1024">
        <f>ROUND(PnC10_Ql*Belarus*(1-H94),2)</f>
        <v>543</v>
      </c>
      <c r="J26" s="1024">
        <f>ROUND(PnC10_Vel*Belarus*(1-H94),2)</f>
        <v>532</v>
      </c>
      <c r="K26" s="1024">
        <f>ROUND(PnC10_Atl*Belarus*(1-H94),2)</f>
        <v>510</v>
      </c>
      <c r="L26" s="1022">
        <f>ROUND(PnC10_Pur*Belarus*(1-L94),2)</f>
        <v>723</v>
      </c>
      <c r="M26" s="1022">
        <f>ROUND(PnC10_Pdx*Belarus*(1-M94),2)</f>
        <v>481</v>
      </c>
      <c r="N26" s="1022">
        <f>ROUND(PnC10_Pdxmatt*Belarus*(1-N94),2)</f>
        <v>491</v>
      </c>
      <c r="O26" s="1022">
        <f>ROUND(PnC10_StBarhat*Belarus*(1-O94),2)</f>
        <v>457</v>
      </c>
      <c r="P26" s="1032" t="str">
        <f>ROUND(PnC10_PtNN*Belarus*(1-P94),2)&amp;" НН"</f>
        <v>513 НН</v>
      </c>
      <c r="Q26" s="1024">
        <f>ROUND(PnC10_Dr*Belarus*(1-Q96),2)</f>
        <v>395</v>
      </c>
      <c r="R26" s="1024">
        <f>ROUND(PnC10_Sat*Belarus*(1-R96),2)</f>
        <v>379</v>
      </c>
      <c r="S26" s="1110">
        <f>ROUND(PnC10_PEdp*Belarus*(1-S96),2)</f>
        <v>372</v>
      </c>
      <c r="T26" s="1110" t="s">
        <v>369</v>
      </c>
      <c r="U26" s="1110" t="str">
        <f>ROUND(PnC10_Pe07*Belarus*(1-U96),2)&amp;" СПБ"</f>
        <v>519 СПБ</v>
      </c>
      <c r="V26" s="1110">
        <f>ROUND(PnC10_Pe065*Belarus*(1-V96),2)</f>
        <v>502</v>
      </c>
      <c r="W26" s="1109">
        <f>ROUND(PnC10_Pe045*Belarus*(1-W96),2)</f>
        <v>346</v>
      </c>
      <c r="X26" s="1022">
        <f>ROUND(PnC10_Pe04*Belarus*(1-X96),2)</f>
        <v>321</v>
      </c>
      <c r="Y26" s="1024">
        <f>ROUND(PnC10_dachPr*Belarus*(1-Y96),2)</f>
        <v>274</v>
      </c>
      <c r="Z26" s="1026" t="s">
        <v>369</v>
      </c>
      <c r="AA26" s="1156">
        <f>ROUND(PnC10_Zn035*Belarus*(1-AA96),2)</f>
        <v>214</v>
      </c>
      <c r="AB26" s="1110">
        <f>ROUND(PnC10_Zn04*Belarus*(1-AB96),2)</f>
        <v>232</v>
      </c>
      <c r="AC26" s="1110">
        <f>ROUND(PnC10_Zn045*Belarus*(1-AC96),2)</f>
        <v>263</v>
      </c>
      <c r="AD26" s="1110">
        <f>ROUND(PnC10_Zn05*Belarus*(1-AD96),2)</f>
        <v>286</v>
      </c>
      <c r="AE26" s="1110">
        <f>ROUND(PnC10_Zn055*Belarus*(1-AE96),2)</f>
        <v>328</v>
      </c>
      <c r="AF26" s="1110" t="str">
        <f>ROUND(PnC10_Zn07*Belarus*(1-AF96),2)&amp;" СПБ"</f>
        <v>401 СПБ</v>
      </c>
      <c r="AG26" s="1110" t="s">
        <v>369</v>
      </c>
      <c r="AH26" s="1110" t="s">
        <v>369</v>
      </c>
    </row>
    <row r="27" spans="1:34" ht="15">
      <c r="A27" s="97" t="s">
        <v>6288</v>
      </c>
      <c r="B27" s="98" t="s">
        <v>388</v>
      </c>
      <c r="C27" s="43" t="s">
        <v>389</v>
      </c>
      <c r="D27" s="1022">
        <f>ROUND(PnC10f_Ptdp*Belarus*(1-D94),2)</f>
        <v>757</v>
      </c>
      <c r="E27" s="1022">
        <f>ROUND(PnC10f_Pt*Belarus*(1-D94),2)</f>
        <v>637</v>
      </c>
      <c r="F27" s="1021">
        <f>ROUND(PnC10f_Sf*Belarus*(1-D94),2)</f>
        <v>664</v>
      </c>
      <c r="G27" s="1021">
        <f>ROUND(PnC10f_Ptdach*Belarus*(1-G94),2)</f>
        <v>549</v>
      </c>
      <c r="H27" s="1023">
        <f>ROUND(PnC10f_Q*Belarus*(1-H94),2)</f>
        <v>696</v>
      </c>
      <c r="I27" s="1024">
        <f>ROUND(PnC10f_Ql*Belarus*(1-H94),2)</f>
        <v>598</v>
      </c>
      <c r="J27" s="1024">
        <f>ROUND(PnC10f_Vel*Belarus*(1-H94),2)</f>
        <v>587</v>
      </c>
      <c r="K27" s="1024">
        <f>ROUND(PnC10f_Atl*Belarus*(1-H94),2)</f>
        <v>565</v>
      </c>
      <c r="L27" s="1022">
        <f>ROUND(PnC10f_Pur*Belarus*(1-L94),2)</f>
        <v>778</v>
      </c>
      <c r="M27" s="1022">
        <f>ROUND(PnC10f_Pdx*Belarus*(1-M94),2)</f>
        <v>536</v>
      </c>
      <c r="N27" s="1022">
        <f>ROUND(PnC10f_Pdxmatt*Belarus*(1-N94),2)</f>
        <v>546</v>
      </c>
      <c r="O27" s="1022">
        <f>ROUND(PnC10f_StBarhat*Belarus*(1-O94),2)</f>
        <v>512</v>
      </c>
      <c r="P27" s="1032" t="s">
        <v>369</v>
      </c>
      <c r="Q27" s="1024">
        <f>ROUND(PnC10f_Dr*Belarus*(1-Q96),2)</f>
        <v>450</v>
      </c>
      <c r="R27" s="1024">
        <f>ROUND(PnC10f_Sat*Belarus*(1-R96),2)</f>
        <v>434</v>
      </c>
      <c r="S27" s="1110">
        <f>ROUND(PnC10f_PEdp*Belarus*(1-S96),2)</f>
        <v>427</v>
      </c>
      <c r="T27" s="1110" t="s">
        <v>369</v>
      </c>
      <c r="U27" s="1110" t="s">
        <v>369</v>
      </c>
      <c r="V27" s="1110" t="s">
        <v>369</v>
      </c>
      <c r="W27" s="1109">
        <f>ROUND(PnC10f_Pe045*Belarus*(1-W96),2)</f>
        <v>401</v>
      </c>
      <c r="X27" s="1022" t="s">
        <v>369</v>
      </c>
      <c r="Y27" s="1024" t="s">
        <v>369</v>
      </c>
      <c r="Z27" s="1026" t="s">
        <v>369</v>
      </c>
      <c r="AA27" s="1156" t="s">
        <v>369</v>
      </c>
      <c r="AB27" s="1110" t="s">
        <v>369</v>
      </c>
      <c r="AC27" s="1110">
        <f>ROUND(PnC10f_Zn045*Belarus*(1-AC96),2)</f>
        <v>318</v>
      </c>
      <c r="AD27" s="1110">
        <f>ROUND(PnC10f_Zn05*Belarus*(1-AD96),2)</f>
        <v>341</v>
      </c>
      <c r="AE27" s="1110" t="s">
        <v>369</v>
      </c>
      <c r="AF27" s="1110" t="s">
        <v>369</v>
      </c>
      <c r="AG27" s="1110" t="s">
        <v>369</v>
      </c>
      <c r="AH27" s="1110" t="s">
        <v>369</v>
      </c>
    </row>
    <row r="28" spans="1:34" ht="38.25">
      <c r="A28" s="86" t="s">
        <v>102</v>
      </c>
      <c r="B28" s="680" t="s">
        <v>390</v>
      </c>
      <c r="C28" s="43" t="s">
        <v>387</v>
      </c>
      <c r="D28" s="1022">
        <f>ROUND(PnC20_Ptdp*Belarus*(1-D94),2)</f>
        <v>718</v>
      </c>
      <c r="E28" s="1022">
        <f>ROUND(PnC20_Pt*Belarus*(1-D94),2)</f>
        <v>595</v>
      </c>
      <c r="F28" s="1021">
        <f>ROUND(PnC20_Sf*Belarus*(1-D94),2)</f>
        <v>622</v>
      </c>
      <c r="G28" s="1021">
        <f>ROUND(PnC20_Ptdach*Belarus*(1-G94),2)</f>
        <v>505</v>
      </c>
      <c r="H28" s="1023">
        <f>ROUND(PnC20_Q*Belarus*(1-H94),2)</f>
        <v>655</v>
      </c>
      <c r="I28" s="1024">
        <f>ROUND(PnC20_Ql*Belarus*(1-H94),2)</f>
        <v>555</v>
      </c>
      <c r="J28" s="1024">
        <f>ROUND(PnC20_Vel*Belarus*(1-H94),2)</f>
        <v>544</v>
      </c>
      <c r="K28" s="1024">
        <f>ROUND(PnC20_Atl*Belarus*(1-H94),2)</f>
        <v>522</v>
      </c>
      <c r="L28" s="1022">
        <f>ROUND(PnC20_Pur*Belarus*(1-L94),2)</f>
        <v>740</v>
      </c>
      <c r="M28" s="1022">
        <f>ROUND(PnC20_Pdx*Belarus*(1-M94),2)</f>
        <v>491</v>
      </c>
      <c r="N28" s="1022">
        <f>ROUND(PnC20_Pdxmatt*Belarus*(1-N94),2)</f>
        <v>501</v>
      </c>
      <c r="O28" s="1022">
        <f>ROUND(PnC20_StBarhat*Belarus*(1-O94),2)</f>
        <v>467</v>
      </c>
      <c r="P28" s="1032" t="str">
        <f>ROUND(PnC20_PtNN*Belarus*(1-P94),2)&amp;" НН"</f>
        <v>524 НН</v>
      </c>
      <c r="Q28" s="1024">
        <f>ROUND(PnC20_Dr*Belarus*(1-Q96),2)</f>
        <v>408</v>
      </c>
      <c r="R28" s="1024">
        <f>ROUND(PnC20_Sat*Belarus*(1-R96),2)</f>
        <v>387</v>
      </c>
      <c r="S28" s="1110">
        <f>ROUND(PnC20_PEdp*Belarus*(1-S96),2)</f>
        <v>384</v>
      </c>
      <c r="T28" s="1110" t="s">
        <v>369</v>
      </c>
      <c r="U28" s="1110">
        <f>ROUND(PnC20_Pe07*Belarus*(1-U96),2)</f>
        <v>545</v>
      </c>
      <c r="V28" s="1110">
        <f>ROUND(PnC20_Pe065*Belarus*(1-V96),2)</f>
        <v>511</v>
      </c>
      <c r="W28" s="1109">
        <f>ROUND(PnC20_Pe045*Belarus*(1-W96),2)</f>
        <v>353</v>
      </c>
      <c r="X28" s="1022">
        <f>ROUND(PnC20_Pe04*Belarus*(1-X96),2)</f>
        <v>328</v>
      </c>
      <c r="Y28" s="1024">
        <f>ROUND(PnC20_dachPr*Belarus*(1-Y96),2)</f>
        <v>279</v>
      </c>
      <c r="Z28" s="1026">
        <f>ROUND(PnC20_dachSk*Belarus*(1-Z96),2)</f>
        <v>271</v>
      </c>
      <c r="AA28" s="1156">
        <f>ROUND(PnC20_Zn035*Belarus*(1-AA96),2)</f>
        <v>217</v>
      </c>
      <c r="AB28" s="1110">
        <f>ROUND(PnC20_Zn04*Belarus*(1-AB96),2)</f>
        <v>236</v>
      </c>
      <c r="AC28" s="1110">
        <f>ROUND(PnC20_Zn045*Belarus*(1-AC96),2)</f>
        <v>268</v>
      </c>
      <c r="AD28" s="1110">
        <f>ROUND(PnC20_Zn05*Belarus*(1-AD96),2)</f>
        <v>291</v>
      </c>
      <c r="AE28" s="1110">
        <f>ROUND(PnC20_Zn055*Belarus*(1-AE96),2)</f>
        <v>335</v>
      </c>
      <c r="AF28" s="1110">
        <f>ROUND(PnC20_Zn07*Belarus*(1-AF96),2)</f>
        <v>409</v>
      </c>
      <c r="AG28" s="1110" t="s">
        <v>369</v>
      </c>
      <c r="AH28" s="1110" t="s">
        <v>369</v>
      </c>
    </row>
    <row r="29" spans="1:34" ht="15">
      <c r="A29" s="97" t="s">
        <v>106</v>
      </c>
      <c r="B29" s="98" t="s">
        <v>391</v>
      </c>
      <c r="C29" s="43" t="s">
        <v>392</v>
      </c>
      <c r="D29" s="1022">
        <f>ROUND(PnC21_Ptdp*Belarus*(1-D94),2)</f>
        <v>786</v>
      </c>
      <c r="E29" s="1022">
        <f>ROUND(PnC21_Pt*Belarus*(1-D94),2)</f>
        <v>651</v>
      </c>
      <c r="F29" s="1021">
        <f>ROUND(PnC21_Sf*Belarus*(1-D94),2)</f>
        <v>681</v>
      </c>
      <c r="G29" s="1021">
        <f>ROUND(PnC21_Ptdach*Belarus*(1-G94),2)</f>
        <v>553</v>
      </c>
      <c r="H29" s="1023">
        <f>ROUND(PnC21_Q*Belarus*(1-H94),2)</f>
        <v>717</v>
      </c>
      <c r="I29" s="1024">
        <f>ROUND(PnC21_Ql*Belarus*(1-H94),2)</f>
        <v>607</v>
      </c>
      <c r="J29" s="1024">
        <f>ROUND(PnC21_Vel*Belarus*(1-H94),2)</f>
        <v>595</v>
      </c>
      <c r="K29" s="1024">
        <f>ROUND(PnC21_Atl*Belarus*(1-H94),2)</f>
        <v>571</v>
      </c>
      <c r="L29" s="1022">
        <f>ROUND(PnC21_Pur*Belarus*(1-L94),2)</f>
        <v>810</v>
      </c>
      <c r="M29" s="1022">
        <f>ROUND(PnC21_Pdx*Belarus*(1-M94),2)</f>
        <v>538</v>
      </c>
      <c r="N29" s="1022">
        <f>ROUND(PnC21_Pdxmatt*Belarus*(1-N94),2)</f>
        <v>548</v>
      </c>
      <c r="O29" s="1022">
        <f>ROUND(PnC21_StBarhat*Belarus*(1-O94),2)</f>
        <v>511</v>
      </c>
      <c r="P29" s="1032" t="str">
        <f>ROUND(PnC21_PtNN*Belarus*(1-P94),2)&amp;" НН"</f>
        <v>576 НН</v>
      </c>
      <c r="Q29" s="1024">
        <f>ROUND(PnC21_Dr*Belarus*(1-Q96),2)</f>
        <v>446</v>
      </c>
      <c r="R29" s="1024">
        <f>ROUND(PnC21_Sat*Belarus*(1-R96),2)</f>
        <v>424</v>
      </c>
      <c r="S29" s="1110">
        <f>ROUND(PnC21_PEdp*Belarus*(1-S96),2)</f>
        <v>414</v>
      </c>
      <c r="T29" s="1110" t="s">
        <v>369</v>
      </c>
      <c r="U29" s="1110">
        <f>ROUND(PnC21_Pe07*Belarus*(1-U96),2)</f>
        <v>596</v>
      </c>
      <c r="V29" s="1110">
        <f>ROUND(PnC21_Pe065*Belarus*(1-V96),2)</f>
        <v>559</v>
      </c>
      <c r="W29" s="1109">
        <f>ROUND(PnC21_Pe045*Belarus*(1-W96),2)</f>
        <v>386</v>
      </c>
      <c r="X29" s="1022">
        <f>ROUND(PnC21_Pe04*Belarus*(1-X96),2)</f>
        <v>359</v>
      </c>
      <c r="Y29" s="1024">
        <f>ROUND(PnC21_dachPr*Belarus*(1-Y96),2)</f>
        <v>305</v>
      </c>
      <c r="Z29" s="1026">
        <f>ROUND(PnC21_dachSk*Belarus*(1-Z96),2)</f>
        <v>297</v>
      </c>
      <c r="AA29" s="1156">
        <f>ROUND(PnC21_Zn035*Belarus*(1-AA96),2)</f>
        <v>237</v>
      </c>
      <c r="AB29" s="1110">
        <f>ROUND(PnC21_Zn04*Belarus*(1-AB96),2)</f>
        <v>258</v>
      </c>
      <c r="AC29" s="1110">
        <f>ROUND(PnC21_Zn045*Belarus*(1-AC96),2)</f>
        <v>293</v>
      </c>
      <c r="AD29" s="1110">
        <f>ROUND(PnC21_Zn05*Belarus*(1-AD96),2)</f>
        <v>319</v>
      </c>
      <c r="AE29" s="1110">
        <f>ROUND(PnC21_Zn055*Belarus*(1-AE96),2)</f>
        <v>367</v>
      </c>
      <c r="AF29" s="1110">
        <f>ROUND(PnC21_Zn07*Belarus*(1-AF96),2)</f>
        <v>448</v>
      </c>
      <c r="AG29" s="1110" t="s">
        <v>369</v>
      </c>
      <c r="AH29" s="1110" t="s">
        <v>369</v>
      </c>
    </row>
    <row r="30" spans="1:34" ht="30">
      <c r="A30" s="86" t="s">
        <v>110</v>
      </c>
      <c r="B30" s="98" t="s">
        <v>393</v>
      </c>
      <c r="C30" s="43" t="s">
        <v>392</v>
      </c>
      <c r="D30" s="1022">
        <f>ROUND(PnHC35_Ptdp*Belarus*(1-D94),2)</f>
        <v>785</v>
      </c>
      <c r="E30" s="1022" t="str">
        <f>ROUND(PnHC35_Pt*Belarus*(1-D94),2)&amp;" СПБ"</f>
        <v>650 СПБ</v>
      </c>
      <c r="F30" s="1021">
        <f>ROUND(PnHC35_Sf*Belarus*(1-D94),2)</f>
        <v>680</v>
      </c>
      <c r="G30" s="1021" t="s">
        <v>369</v>
      </c>
      <c r="H30" s="1023">
        <f>ROUND(PnHC35_Q*Belarus*(1-H94),2)</f>
        <v>716</v>
      </c>
      <c r="I30" s="1024">
        <f>ROUND(PnHC35_Ql*Belarus*(1-H94),2)</f>
        <v>606</v>
      </c>
      <c r="J30" s="1024">
        <f>ROUND(PnHC35_Vel*Belarus*(1-H94),2)</f>
        <v>594</v>
      </c>
      <c r="K30" s="1024">
        <f>ROUND(PnHC35_Atl*Belarus*(1-H94),2)</f>
        <v>570</v>
      </c>
      <c r="L30" s="1022">
        <f>ROUND(PnHC35_Pur*Belarus*(1-L94),2)</f>
        <v>809</v>
      </c>
      <c r="M30" s="1022">
        <f>ROUND(PnHC35_Pdx*Belarus*(1-M94),2)</f>
        <v>537</v>
      </c>
      <c r="N30" s="1022">
        <f>ROUND(PnHC35_Pdxmatt*Belarus*(1-N94),2)</f>
        <v>547</v>
      </c>
      <c r="O30" s="1022">
        <f>ROUND(PnHC35_StBarhat*Belarus*(1-O94),2)</f>
        <v>510</v>
      </c>
      <c r="P30" s="1032" t="s">
        <v>369</v>
      </c>
      <c r="Q30" s="1024">
        <f>ROUND(PnHC35_Dr*Belarus*(1-Q96),2)</f>
        <v>445</v>
      </c>
      <c r="R30" s="1024">
        <f>ROUND(PnHC35_Sat*Belarus*(1-R96),2)</f>
        <v>423</v>
      </c>
      <c r="S30" s="1110">
        <f>ROUND(PnHC35_PEdp*Belarus*(1-S96),2)</f>
        <v>425</v>
      </c>
      <c r="T30" s="1110">
        <f>ROUND(PnHC35_Pe08*Belarus*(1-T96),2)</f>
        <v>653</v>
      </c>
      <c r="U30" s="1110">
        <f>ROUND(PnHC35_Pe07*Belarus*(1-U96),2)</f>
        <v>592</v>
      </c>
      <c r="V30" s="1110">
        <f>ROUND(PnHC35_Pe065*Belarus*(1-V96),2)</f>
        <v>553</v>
      </c>
      <c r="W30" s="1109" t="str">
        <f>ROUND(PnHC35_Pe045*Belarus*(1-W96),2)&amp;" СПБ"</f>
        <v>385 СПБ</v>
      </c>
      <c r="X30" s="1110" t="s">
        <v>369</v>
      </c>
      <c r="Y30" s="1024" t="s">
        <v>369</v>
      </c>
      <c r="Z30" s="1026" t="s">
        <v>369</v>
      </c>
      <c r="AA30" s="1156" t="s">
        <v>369</v>
      </c>
      <c r="AB30" s="1110" t="s">
        <v>394</v>
      </c>
      <c r="AC30" s="1110" t="str">
        <f>ROUND(PnHC35_Zn045*Belarus*(1-AC96),2)&amp;" СПБ"</f>
        <v>292 СПБ</v>
      </c>
      <c r="AD30" s="1110">
        <f>ROUND(PnHC35_Zn05*Belarus*(1-AD96),2)</f>
        <v>318</v>
      </c>
      <c r="AE30" s="1110">
        <f>ROUND(PnHC35_Zn055*Belarus*(1-AE96),2)</f>
        <v>366</v>
      </c>
      <c r="AF30" s="1110">
        <f>ROUND(PnHC35_Zn07*Belarus*(1-AF96),2)</f>
        <v>447</v>
      </c>
      <c r="AG30" s="1110">
        <f>ROUND(PnHC35_Zn08*Belarus*(1-AG96),2)</f>
        <v>506</v>
      </c>
      <c r="AH30" s="1110" t="s">
        <v>369</v>
      </c>
    </row>
    <row r="31" spans="1:34" ht="15">
      <c r="A31" s="97" t="s">
        <v>113</v>
      </c>
      <c r="B31" s="98" t="s">
        <v>395</v>
      </c>
      <c r="C31" s="43" t="s">
        <v>392</v>
      </c>
      <c r="D31" s="1022">
        <f>ROUND(PnH60_Ptdp*Belarus*(1-D94),2)</f>
        <v>915</v>
      </c>
      <c r="E31" s="1022">
        <f>ROUND(PnH60_Pt*Belarus*(1-D94),2)</f>
        <v>758</v>
      </c>
      <c r="F31" s="1021">
        <f>ROUND(PnH60_Sf*Belarus*(1-D94),2)</f>
        <v>794</v>
      </c>
      <c r="G31" s="1021" t="s">
        <v>369</v>
      </c>
      <c r="H31" s="1023">
        <f>ROUND(PnH60_Q*Belarus*(1-H94),2)</f>
        <v>835</v>
      </c>
      <c r="I31" s="1024">
        <f>ROUND(PnH60_Ql*Belarus*(1-H94),2)</f>
        <v>708</v>
      </c>
      <c r="J31" s="1024">
        <f>ROUND(PnH60_Vel*Belarus*(1-H94),2)</f>
        <v>693</v>
      </c>
      <c r="K31" s="1024">
        <f>ROUND(PnH60_Atl*Belarus*(1-H94),2)</f>
        <v>665</v>
      </c>
      <c r="L31" s="1022">
        <f>ROUND(PnH60_Pur*Belarus*(1-L94),2)</f>
        <v>943</v>
      </c>
      <c r="M31" s="1022">
        <f>ROUND(PnH60_Pdx*Belarus*(1-M94),2)</f>
        <v>627</v>
      </c>
      <c r="N31" s="1022">
        <f>ROUND(PnH60_Pdxmatt*Belarus*(1-N94),2)</f>
        <v>637</v>
      </c>
      <c r="O31" s="1022">
        <f>ROUND(PnH60_StBarhat*Belarus*(1-O94),2)</f>
        <v>595</v>
      </c>
      <c r="P31" s="1032" t="s">
        <v>369</v>
      </c>
      <c r="Q31" s="1024" t="s">
        <v>369</v>
      </c>
      <c r="R31" s="1024">
        <f>ROUND(PnH60_Sat*Belarus*(1-R96),2)</f>
        <v>494</v>
      </c>
      <c r="S31" s="1110" t="s">
        <v>369</v>
      </c>
      <c r="T31" s="1110">
        <f>ROUND(PnH60_Pe08*Belarus*(1-T96),2)</f>
        <v>762</v>
      </c>
      <c r="U31" s="1110">
        <f>ROUND(PnH60_Pe07*Belarus*(1-U96),2)</f>
        <v>676</v>
      </c>
      <c r="V31" s="1110">
        <f>ROUND(PnH60_Pe065*Belarus*(1-V96),2)</f>
        <v>649</v>
      </c>
      <c r="W31" s="1109" t="s">
        <v>369</v>
      </c>
      <c r="X31" s="1110" t="s">
        <v>369</v>
      </c>
      <c r="Y31" s="1024" t="s">
        <v>369</v>
      </c>
      <c r="Z31" s="1026" t="s">
        <v>369</v>
      </c>
      <c r="AA31" s="1156" t="s">
        <v>369</v>
      </c>
      <c r="AB31" s="1110" t="s">
        <v>394</v>
      </c>
      <c r="AC31" s="1110" t="s">
        <v>369</v>
      </c>
      <c r="AD31" s="1110">
        <f>ROUND(PnH60_Zn05*Belarus*(1-AD96),2)</f>
        <v>371</v>
      </c>
      <c r="AE31" s="1110">
        <f>ROUND(PnH60_Zn055*Belarus*(1-AE96),2)</f>
        <v>427</v>
      </c>
      <c r="AF31" s="1110">
        <f>ROUND(PnH60_Zn07*Belarus*(1-AF96),2)</f>
        <v>522</v>
      </c>
      <c r="AG31" s="1110">
        <f>ROUND(PnH60_Zn08*Belarus*(1-AG96),2)</f>
        <v>589</v>
      </c>
      <c r="AH31" s="1110">
        <f>ROUND(PnH60_Zn09*Belarus*(1-AH96),2)</f>
        <v>657</v>
      </c>
    </row>
    <row r="32" spans="1:34" s="96" customFormat="1" ht="15">
      <c r="A32" s="86" t="s">
        <v>117</v>
      </c>
      <c r="B32" s="98" t="s">
        <v>396</v>
      </c>
      <c r="C32" s="43" t="s">
        <v>392</v>
      </c>
      <c r="D32" s="1022" t="s">
        <v>369</v>
      </c>
      <c r="E32" s="1022" t="s">
        <v>369</v>
      </c>
      <c r="F32" s="1021" t="s">
        <v>369</v>
      </c>
      <c r="G32" s="1021" t="s">
        <v>369</v>
      </c>
      <c r="H32" s="1023" t="str">
        <f>PnH75_Q</f>
        <v>-</v>
      </c>
      <c r="I32" s="1024" t="str">
        <f>PnH75_Ql</f>
        <v>-</v>
      </c>
      <c r="J32" s="1024" t="str">
        <f>PnH75_Vel</f>
        <v>-</v>
      </c>
      <c r="K32" s="1024" t="str">
        <f>PnH75_Atl</f>
        <v>-</v>
      </c>
      <c r="L32" s="1022" t="str">
        <f>PnH75_Pur</f>
        <v>-</v>
      </c>
      <c r="M32" s="1022" t="str">
        <f>PnH75_Pdx</f>
        <v>-</v>
      </c>
      <c r="N32" s="1022" t="s">
        <v>369</v>
      </c>
      <c r="O32" s="1022" t="s">
        <v>369</v>
      </c>
      <c r="P32" s="1025" t="s">
        <v>369</v>
      </c>
      <c r="Q32" s="1024" t="s">
        <v>369</v>
      </c>
      <c r="R32" s="1024" t="s">
        <v>369</v>
      </c>
      <c r="S32" s="1110" t="s">
        <v>369</v>
      </c>
      <c r="T32" s="1110">
        <f>ROUND(PnH75_Pe08*Belarus*(1-T96),2)</f>
        <v>860</v>
      </c>
      <c r="U32" s="1110">
        <f>ROUND(PnH75_Pe07*Belarus*(1-U96),2)</f>
        <v>762</v>
      </c>
      <c r="V32" s="1110">
        <f>ROUND(PnH75_Pe065*Belarus*(1-V96),2)</f>
        <v>734</v>
      </c>
      <c r="W32" s="1109" t="s">
        <v>369</v>
      </c>
      <c r="X32" s="1110" t="s">
        <v>369</v>
      </c>
      <c r="Y32" s="1024" t="s">
        <v>369</v>
      </c>
      <c r="Z32" s="1026" t="s">
        <v>369</v>
      </c>
      <c r="AA32" s="1027" t="s">
        <v>369</v>
      </c>
      <c r="AB32" s="1022" t="s">
        <v>394</v>
      </c>
      <c r="AC32" s="1022" t="s">
        <v>394</v>
      </c>
      <c r="AD32" s="1022" t="s">
        <v>394</v>
      </c>
      <c r="AE32" s="1022" t="s">
        <v>369</v>
      </c>
      <c r="AF32" s="1110">
        <f>ROUND(PnH75_Zn07*Belarus*(1-AF96),2)</f>
        <v>588</v>
      </c>
      <c r="AG32" s="1110">
        <f>ROUND(PnH75_Zn08*Belarus*(1-AG96),2)</f>
        <v>664</v>
      </c>
      <c r="AH32" s="1110">
        <f>ROUND(PnH75_Zn09*Belarus*(1-AH96),2)</f>
        <v>741</v>
      </c>
    </row>
    <row r="33" spans="1:34" s="96" customFormat="1" ht="15.75" customHeight="1">
      <c r="A33" s="82" t="s">
        <v>397</v>
      </c>
      <c r="B33" s="59"/>
      <c r="C33" s="83"/>
      <c r="D33" s="1033"/>
      <c r="E33" s="1033"/>
      <c r="F33" s="1033"/>
      <c r="G33" s="1033"/>
      <c r="H33" s="1033"/>
      <c r="I33" s="1033"/>
      <c r="J33" s="1033"/>
      <c r="K33" s="1033"/>
      <c r="L33" s="1033"/>
      <c r="M33" s="1033"/>
      <c r="N33" s="1033"/>
      <c r="O33" s="1033"/>
      <c r="P33" s="457"/>
      <c r="Q33" s="1033"/>
      <c r="R33" s="1033"/>
      <c r="S33" s="1033"/>
      <c r="T33" s="1033"/>
      <c r="U33" s="1033"/>
      <c r="V33" s="1033"/>
      <c r="W33" s="1033"/>
      <c r="X33" s="1033"/>
      <c r="Y33" s="1033"/>
      <c r="Z33" s="1033"/>
      <c r="AA33" s="1033"/>
      <c r="AB33" s="1033"/>
      <c r="AC33" s="1033"/>
      <c r="AD33" s="1033"/>
      <c r="AE33" s="1033"/>
      <c r="AF33" s="1033"/>
      <c r="AG33" s="1033"/>
      <c r="AH33" s="1034"/>
    </row>
    <row r="34" spans="1:34" s="96" customFormat="1" ht="15">
      <c r="A34" s="97" t="s">
        <v>398</v>
      </c>
      <c r="B34" s="43" t="s">
        <v>399</v>
      </c>
      <c r="C34" s="101" t="s">
        <v>400</v>
      </c>
      <c r="D34" s="1022">
        <f>ROUND(ShtripsFalz_Ptdp*Belarus*(1-D94),2)</f>
        <v>698</v>
      </c>
      <c r="E34" s="1022">
        <f>ROUND(ShtripsFalz_Pt*Belarus*(1-D94),2)</f>
        <v>580</v>
      </c>
      <c r="F34" s="1021">
        <f>ROUND(ShtripsFalz_Sf*Belarus*(1-D94),2)</f>
        <v>607</v>
      </c>
      <c r="G34" s="1021">
        <f>ROUND(ShtripsFalz_Ptdach*Belarus*(1-G94),2)</f>
        <v>494</v>
      </c>
      <c r="H34" s="1023">
        <f>ROUND(ShtripsFalz_Q*Belarus*(1-H94),2)</f>
        <v>650</v>
      </c>
      <c r="I34" s="1024">
        <f>ROUND(ShtripsFalz_Ql*Belarus*(1-H94),2)</f>
        <v>542</v>
      </c>
      <c r="J34" s="1024">
        <f>ROUND(ShtripsFalz_Vel*Belarus*(1-H94),2)</f>
        <v>546</v>
      </c>
      <c r="K34" s="1024">
        <f>ROUND(ShtripsFalz_Atl*Belarus*(1-H94),2)</f>
        <v>510</v>
      </c>
      <c r="L34" s="1022">
        <f>ROUND(ShtripsFalz_Pur*Belarus*(1-L94),2)</f>
        <v>765</v>
      </c>
      <c r="M34" s="1022">
        <f>ROUND(ShtripsFalz_Pdx*Belarus*(1-M94),2)</f>
        <v>481</v>
      </c>
      <c r="N34" s="1022">
        <f>ROUND(ShtripsFalz_Pdxmatt*Belarus*(1-N94),2)</f>
        <v>491</v>
      </c>
      <c r="O34" s="1022">
        <f>ROUND(ShtripsFalz_StBarhat*Belarus*(1-O94),2)</f>
        <v>457</v>
      </c>
      <c r="P34" s="1028" t="str">
        <f>ROUND(ShtripsFalz_PtNN*Belarus*(1-P94),2)&amp;" НН"</f>
        <v>512 НН</v>
      </c>
      <c r="Q34" s="1024">
        <f>ROUND(ShtripsFalz_Dr*Belarus*(1-Q97),2)</f>
        <v>392</v>
      </c>
      <c r="R34" s="1024">
        <f>ROUND(ShtripsFalz_Sat*Belarus*(1-R97),2)</f>
        <v>381</v>
      </c>
      <c r="S34" s="1110">
        <f>ROUND(ShtripsFalz_PEdp*Belarus*(1-S97),2)</f>
        <v>367</v>
      </c>
      <c r="T34" s="1110">
        <f>ROUND(ShtripsFalz_Pe08*Belarus*(1-T97),2)</f>
        <v>573</v>
      </c>
      <c r="U34" s="1110">
        <f>ROUND(ShtripsFalz_Pe07*Belarus*(1-U97),2)</f>
        <v>508</v>
      </c>
      <c r="V34" s="1110">
        <f>ROUND(ShtripsFalz_Pe065*Belarus*(1-V97),2)</f>
        <v>481</v>
      </c>
      <c r="W34" s="1109">
        <f>ROUND(ShtripsFalz_Pe045*Belarus*(1-W97),2)</f>
        <v>338</v>
      </c>
      <c r="X34" s="1022">
        <f>ROUND(ShtripsFalz_Pe04*Belarus*(1-X97),2)</f>
        <v>310</v>
      </c>
      <c r="Y34" s="1024" t="s">
        <v>369</v>
      </c>
      <c r="Z34" s="1026" t="s">
        <v>369</v>
      </c>
      <c r="AA34" s="1156">
        <f>ROUND(ShtripsFalz_Zn035*Belarus*(1-AA97),2)</f>
        <v>199</v>
      </c>
      <c r="AB34" s="1110">
        <f>ROUND(ShtripsFalz_Zn04*Belarus*(1-AB97),2)</f>
        <v>217</v>
      </c>
      <c r="AC34" s="1110">
        <f>ROUND(ShtripsFalz_Zn045*Belarus*(1-AC97),2)</f>
        <v>247</v>
      </c>
      <c r="AD34" s="1110">
        <f>ROUND(ShtripsFalz_Zn05*Belarus*(1-AD97),2)</f>
        <v>268</v>
      </c>
      <c r="AE34" s="1110">
        <f>ROUND(ShtripsFalz_Zn055*Belarus*(1-AE97),2)</f>
        <v>308</v>
      </c>
      <c r="AF34" s="1110">
        <f>ROUND(ShtripsFalz_Zn07*Belarus*(1-AF97),2)</f>
        <v>377</v>
      </c>
      <c r="AG34" s="1110">
        <f>ROUND(ShtripsFalz_Zn08*Belarus*(1-AG97),2)</f>
        <v>425</v>
      </c>
      <c r="AH34" s="1110">
        <f>ROUND(ShtripsFalz_Zn09*Belarus*(1-AH97),2)</f>
        <v>474</v>
      </c>
    </row>
    <row r="35" spans="1:34" s="96" customFormat="1" ht="40.5" customHeight="1">
      <c r="A35" s="102" t="s">
        <v>3709</v>
      </c>
      <c r="B35" s="43" t="s">
        <v>401</v>
      </c>
      <c r="C35" s="103" t="s">
        <v>3710</v>
      </c>
      <c r="D35" s="1022">
        <f>ROUND(List_Ptdp*Belarus*(1-D94),2)</f>
        <v>693</v>
      </c>
      <c r="E35" s="1022">
        <f>ROUND(List_Pt*Belarus*(1-D94),2)</f>
        <v>575</v>
      </c>
      <c r="F35" s="1021">
        <f>ROUND(List_Sf*Belarus*(1-D94),2)</f>
        <v>602</v>
      </c>
      <c r="G35" s="1021">
        <f>ROUND(List_Ptdach*Belarus*(1-G94),2)</f>
        <v>489</v>
      </c>
      <c r="H35" s="1023">
        <f>ROUND(List_Q*Belarus*(1-H94),2)</f>
        <v>645</v>
      </c>
      <c r="I35" s="1024">
        <f>ROUND(List_Ql*Belarus*(1-H94),2)</f>
        <v>537</v>
      </c>
      <c r="J35" s="1024" t="str">
        <f>ROUND(List_Vel*Belarus*(1-H94),2)&amp;" (2)"</f>
        <v>526 (2)</v>
      </c>
      <c r="K35" s="1024">
        <f>ROUND(List_Atl*Belarus*(1-H94),2)</f>
        <v>505</v>
      </c>
      <c r="L35" s="1022">
        <f>ROUND(List_Pur*Belarus*(1-L94),2)</f>
        <v>760</v>
      </c>
      <c r="M35" s="1022">
        <f>ROUND(List_Pdx*Belarus*(1-M94),2)</f>
        <v>476</v>
      </c>
      <c r="N35" s="1022">
        <f>ROUND(List_Pdxmatt*Belarus*(1-N94),2)</f>
        <v>486</v>
      </c>
      <c r="O35" s="1022">
        <f>ROUND(List_StBarhat*Belarus*(1-O94),2)</f>
        <v>452</v>
      </c>
      <c r="P35" s="1025" t="str">
        <f>ROUND(List_PtNN*Belarus*(1-P94),2)&amp;" НН"</f>
        <v>507 НН</v>
      </c>
      <c r="Q35" s="1024">
        <f>ROUND(List_Dr*Belarus*(1-Q97),2)</f>
        <v>397</v>
      </c>
      <c r="R35" s="1024">
        <f>ROUND(List_Sat*Belarus*(1-R97),2)</f>
        <v>376</v>
      </c>
      <c r="S35" s="1110">
        <f>ROUND(List_PEdp*Belarus*(1-S97),2)</f>
        <v>367</v>
      </c>
      <c r="T35" s="1110">
        <f>ROUND(List_Pe08*Belarus*(1-T97),2)</f>
        <v>573</v>
      </c>
      <c r="U35" s="1110">
        <f>ROUND(List_Pe07*Belarus*(1-U97),2)</f>
        <v>508</v>
      </c>
      <c r="V35" s="1110">
        <f>ROUND(List_Pe065*Belarus*(1-V97),2)</f>
        <v>481</v>
      </c>
      <c r="W35" s="1109">
        <f>ROUND(List_Pe045*Belarus*(1-W97),2)</f>
        <v>338</v>
      </c>
      <c r="X35" s="1022">
        <f>ROUND(List_Pe04*Belarus*(1-X97),2)</f>
        <v>310</v>
      </c>
      <c r="Y35" s="1024" t="s">
        <v>369</v>
      </c>
      <c r="Z35" s="1026" t="s">
        <v>369</v>
      </c>
      <c r="AA35" s="1156">
        <f>ROUND(List_Zn035*Belarus*(1-AA97),2)</f>
        <v>199</v>
      </c>
      <c r="AB35" s="1110">
        <f>ROUND(List_Zn04*Belarus*(1-AB97),2)</f>
        <v>217</v>
      </c>
      <c r="AC35" s="1110">
        <f>ROUND(List_Zn045*Belarus*(1-AC97),2)</f>
        <v>247</v>
      </c>
      <c r="AD35" s="1110">
        <f>ROUND(List_Zn05*Belarus*(1-AD97),2)</f>
        <v>268</v>
      </c>
      <c r="AE35" s="1110">
        <f>ROUND(List_Zn055*Belarus*(1-AE97),2)</f>
        <v>308</v>
      </c>
      <c r="AF35" s="1110">
        <f>ROUND(List_Zn07*Belarus*(1-AF97),2)</f>
        <v>377</v>
      </c>
      <c r="AG35" s="1110">
        <f>ROUND(List_Zn08*Belarus*(1-AG97),2)</f>
        <v>425</v>
      </c>
      <c r="AH35" s="1110">
        <f>ROUND(List_Zn09*Belarus*(1-AH97),2)</f>
        <v>474</v>
      </c>
    </row>
    <row r="36" spans="1:34" s="96" customFormat="1">
      <c r="A36" s="82" t="s">
        <v>6289</v>
      </c>
      <c r="B36" s="59"/>
      <c r="C36" s="83"/>
      <c r="D36" s="1033"/>
      <c r="E36" s="1033"/>
      <c r="F36" s="1033"/>
      <c r="G36" s="1033"/>
      <c r="H36" s="1033"/>
      <c r="I36" s="1033"/>
      <c r="J36" s="1033"/>
      <c r="K36" s="1033"/>
      <c r="L36" s="1033"/>
      <c r="M36" s="1033"/>
      <c r="N36" s="1033"/>
      <c r="O36" s="1033"/>
      <c r="P36" s="457"/>
      <c r="Q36" s="1033"/>
      <c r="R36" s="1033"/>
      <c r="S36" s="1033"/>
      <c r="T36" s="1033"/>
      <c r="U36" s="1033"/>
      <c r="V36" s="1033"/>
      <c r="W36" s="1033"/>
      <c r="X36" s="1033"/>
      <c r="Y36" s="1033"/>
      <c r="Z36" s="1033"/>
      <c r="AA36" s="1033"/>
      <c r="AB36" s="1033"/>
      <c r="AC36" s="1033"/>
      <c r="AD36" s="1033"/>
      <c r="AE36" s="1033"/>
      <c r="AF36" s="1033"/>
      <c r="AG36" s="1033"/>
      <c r="AH36" s="1034"/>
    </row>
    <row r="37" spans="1:34" s="96" customFormat="1" ht="25.5">
      <c r="A37" s="97" t="s">
        <v>402</v>
      </c>
      <c r="B37" s="300" t="s">
        <v>403</v>
      </c>
      <c r="C37" s="105" t="s">
        <v>404</v>
      </c>
      <c r="D37" s="1022">
        <f>ROUND(S_KDoska_Ptdp*Belarus*(1-D94),2)</f>
        <v>760</v>
      </c>
      <c r="E37" s="1022">
        <f>ROUND(S_KDoska_Pt*Belarus*(1-D94),2)</f>
        <v>633</v>
      </c>
      <c r="F37" s="1021">
        <f>ROUND(S_KDoska_Sf*Belarus*(1-D94),2)</f>
        <v>663</v>
      </c>
      <c r="G37" s="1021" t="s">
        <v>369</v>
      </c>
      <c r="H37" s="1023">
        <f>ROUND(S_KDoska_Q*Belarus*(1-H94),2)</f>
        <v>739</v>
      </c>
      <c r="I37" s="1024">
        <f>ROUND(S_KDoska_Ql*Belarus*(1-H94),2)</f>
        <v>591</v>
      </c>
      <c r="J37" s="1024">
        <f>ROUND(S_KDoska_Vel*Belarus*(1-H94),2)</f>
        <v>580</v>
      </c>
      <c r="K37" s="1024">
        <f>ROUND(S_KDoska_Atl*Belarus*(1-H94),2)</f>
        <v>559</v>
      </c>
      <c r="L37" s="1022">
        <f>ROUND(S_KDoska_Pur*Belarus*(1-L94),2)</f>
        <v>809</v>
      </c>
      <c r="M37" s="1022">
        <f>ROUND(S_KDoska_Pdx*Belarus*(1-M94),2)</f>
        <v>525</v>
      </c>
      <c r="N37" s="1022">
        <f>ROUND(S_KDoska_Pdxmatt*Belarus*(1-N94),2)</f>
        <v>535</v>
      </c>
      <c r="O37" s="1022">
        <f>ROUND(S_KDoska_StBarhat*Belarus*(1-O94),2)</f>
        <v>505</v>
      </c>
      <c r="P37" s="1028" t="str">
        <f>ROUND(S_KDoska_PtNN*Belarus*(1-P94),2)&amp;" НН"</f>
        <v>575 НН</v>
      </c>
      <c r="Q37" s="1024">
        <f>ROUND(S_KDoska_Dr*Belarus*(1-Q98),2)</f>
        <v>426</v>
      </c>
      <c r="R37" s="1024">
        <f>ROUND(S_KDoska_Sat*Belarus*(1-R98),2)</f>
        <v>441</v>
      </c>
      <c r="S37" s="1110" t="s">
        <v>369</v>
      </c>
      <c r="T37" s="1110" t="s">
        <v>369</v>
      </c>
      <c r="U37" s="1110" t="s">
        <v>369</v>
      </c>
      <c r="V37" s="1110" t="s">
        <v>369</v>
      </c>
      <c r="W37" s="1109">
        <f>ROUND(S_KDoska_Pe045*Belarus*(1-W98),2)</f>
        <v>406</v>
      </c>
      <c r="X37" s="1110" t="s">
        <v>369</v>
      </c>
      <c r="Y37" s="1024" t="s">
        <v>369</v>
      </c>
      <c r="Z37" s="1026" t="s">
        <v>369</v>
      </c>
      <c r="AA37" s="1027" t="s">
        <v>369</v>
      </c>
      <c r="AB37" s="1022" t="s">
        <v>369</v>
      </c>
      <c r="AC37" s="1022" t="s">
        <v>369</v>
      </c>
      <c r="AD37" s="1022" t="s">
        <v>369</v>
      </c>
      <c r="AE37" s="1022" t="s">
        <v>369</v>
      </c>
      <c r="AF37" s="1022" t="s">
        <v>369</v>
      </c>
      <c r="AG37" s="1022" t="s">
        <v>369</v>
      </c>
      <c r="AH37" s="1022" t="s">
        <v>369</v>
      </c>
    </row>
    <row r="38" spans="1:34" s="96" customFormat="1" ht="15">
      <c r="A38" s="106" t="s">
        <v>405</v>
      </c>
      <c r="B38" s="43" t="s">
        <v>406</v>
      </c>
      <c r="C38" s="101" t="s">
        <v>404</v>
      </c>
      <c r="D38" s="1022">
        <f>ROUND(S_Vertikal_Ptdp*Belarus*(1-D94),2)</f>
        <v>806</v>
      </c>
      <c r="E38" s="1022">
        <f>ROUND(S_Vertikal_Pt*Belarus*(1-D94),2)</f>
        <v>670</v>
      </c>
      <c r="F38" s="1021">
        <f>ROUND(S_Vertikal_Sf*Belarus*(1-D94),2)</f>
        <v>701</v>
      </c>
      <c r="G38" s="1021" t="s">
        <v>369</v>
      </c>
      <c r="H38" s="1023">
        <f>ROUND(S_Vertikal_Q*Belarus*(1-H94),2)</f>
        <v>784</v>
      </c>
      <c r="I38" s="1024">
        <f>ROUND(S_Vertikal_Ql*Belarus*(1-H94),2)</f>
        <v>626</v>
      </c>
      <c r="J38" s="1024">
        <f>ROUND(S_Vertikal_Vel*Belarus*(1-H94),2)</f>
        <v>614</v>
      </c>
      <c r="K38" s="1024">
        <f>ROUND(S_Vertikal_Atl*Belarus*(1-H94),2)</f>
        <v>592</v>
      </c>
      <c r="L38" s="1022">
        <f>ROUND(S_Vertikal_Pur*Belarus*(1-L94),2)</f>
        <v>856</v>
      </c>
      <c r="M38" s="1022">
        <f>ROUND(S_Vertikal_Pdx*Belarus*(1-M94),2)</f>
        <v>556</v>
      </c>
      <c r="N38" s="1022">
        <f>ROUND(S_Vertikal_Pdxmatt*Belarus*(1-N94),2)</f>
        <v>566</v>
      </c>
      <c r="O38" s="1022">
        <f>ROUND(S_Vertikal_StBarhat*Belarus*(1-O94),2)</f>
        <v>535</v>
      </c>
      <c r="P38" s="1028" t="s">
        <v>369</v>
      </c>
      <c r="Q38" s="1024">
        <f>ROUND(S_Vertikal_Dr*Belarus*(1-Q98),2)</f>
        <v>466</v>
      </c>
      <c r="R38" s="1024">
        <f>ROUND(S_Vertikal_Sat*Belarus*(1-R98),2)</f>
        <v>465</v>
      </c>
      <c r="S38" s="1110" t="s">
        <v>369</v>
      </c>
      <c r="T38" s="1110" t="s">
        <v>369</v>
      </c>
      <c r="U38" s="1110" t="s">
        <v>369</v>
      </c>
      <c r="V38" s="1110" t="s">
        <v>369</v>
      </c>
      <c r="W38" s="1109">
        <f>ROUND(S_Vertikal_Pe045*Belarus*(1-W98),2)</f>
        <v>428</v>
      </c>
      <c r="X38" s="1110" t="s">
        <v>369</v>
      </c>
      <c r="Y38" s="1024" t="s">
        <v>369</v>
      </c>
      <c r="Z38" s="1026" t="s">
        <v>369</v>
      </c>
      <c r="AA38" s="1027" t="s">
        <v>369</v>
      </c>
      <c r="AB38" s="1022" t="s">
        <v>369</v>
      </c>
      <c r="AC38" s="1022" t="s">
        <v>369</v>
      </c>
      <c r="AD38" s="1022" t="s">
        <v>369</v>
      </c>
      <c r="AE38" s="1022" t="s">
        <v>369</v>
      </c>
      <c r="AF38" s="1022" t="s">
        <v>369</v>
      </c>
      <c r="AG38" s="1022" t="s">
        <v>369</v>
      </c>
      <c r="AH38" s="1022" t="s">
        <v>369</v>
      </c>
    </row>
    <row r="39" spans="1:34" s="96" customFormat="1" ht="15">
      <c r="A39" s="106" t="s">
        <v>6321</v>
      </c>
      <c r="B39" s="43" t="s">
        <v>408</v>
      </c>
      <c r="C39" s="103" t="s">
        <v>404</v>
      </c>
      <c r="D39" s="1022">
        <f>ROUND(S_EBrus_Ptdp*Belarus*(1-D94),2)</f>
        <v>779</v>
      </c>
      <c r="E39" s="1022">
        <f>ROUND(S_EBrus_Pt*Belarus*(1-D94),2)</f>
        <v>647</v>
      </c>
      <c r="F39" s="1021">
        <f>ROUND(S_EBrus_Sf*Belarus*(1-D94),2)</f>
        <v>679</v>
      </c>
      <c r="G39" s="1021" t="s">
        <v>369</v>
      </c>
      <c r="H39" s="1023">
        <f>ROUND(S_EBrus_Q*Belarus*(1-H94),2)</f>
        <v>749</v>
      </c>
      <c r="I39" s="1024" t="s">
        <v>369</v>
      </c>
      <c r="J39" s="1024">
        <f>ROUND(S_EBrus_Vel*Belarus*(1-H94),2)</f>
        <v>593</v>
      </c>
      <c r="K39" s="1024" t="s">
        <v>369</v>
      </c>
      <c r="L39" s="1022">
        <f>ROUND(S_EBrus_Pur*Belarus*(1-L94),2)</f>
        <v>827</v>
      </c>
      <c r="M39" s="1022">
        <f>ROUND(S_EBrus_Pdx*Belarus*(1-M94),2)</f>
        <v>537</v>
      </c>
      <c r="N39" s="1022">
        <f>ROUND(S_EBrus_Pdxmatt*Belarus*(1-N94),2)</f>
        <v>547</v>
      </c>
      <c r="O39" s="1022">
        <f>ROUND(S_EBrus_StBarhat*Belarus*(1-O94),2)</f>
        <v>515</v>
      </c>
      <c r="P39" s="1028" t="str">
        <f>ROUND(S_EBrus_PtNN*Belarus*(1-P94),2)&amp;" НН"</f>
        <v>589 НН</v>
      </c>
      <c r="Q39" s="1024">
        <f>ROUND(S_EBrus_Dr*Belarus*(1-Q98),2)</f>
        <v>445</v>
      </c>
      <c r="R39" s="1024">
        <f>ROUND(S_EBrus_Sat*Belarus*(1-R98),2)</f>
        <v>455</v>
      </c>
      <c r="S39" s="1110" t="s">
        <v>369</v>
      </c>
      <c r="T39" s="1110" t="s">
        <v>369</v>
      </c>
      <c r="U39" s="1110" t="s">
        <v>369</v>
      </c>
      <c r="V39" s="1110" t="s">
        <v>369</v>
      </c>
      <c r="W39" s="1109">
        <f>ROUND(S_EBrus_Pe045*Belarus*(1-W98),2)</f>
        <v>416</v>
      </c>
      <c r="X39" s="1110" t="s">
        <v>369</v>
      </c>
      <c r="Y39" s="1024" t="s">
        <v>369</v>
      </c>
      <c r="Z39" s="1026" t="s">
        <v>369</v>
      </c>
      <c r="AA39" s="1027" t="s">
        <v>369</v>
      </c>
      <c r="AB39" s="1022" t="s">
        <v>369</v>
      </c>
      <c r="AC39" s="1022" t="s">
        <v>369</v>
      </c>
      <c r="AD39" s="1022" t="s">
        <v>369</v>
      </c>
      <c r="AE39" s="1022" t="s">
        <v>369</v>
      </c>
      <c r="AF39" s="1022" t="s">
        <v>369</v>
      </c>
      <c r="AG39" s="1022" t="s">
        <v>369</v>
      </c>
      <c r="AH39" s="1022" t="s">
        <v>369</v>
      </c>
    </row>
    <row r="40" spans="1:34" s="96" customFormat="1" ht="35.25" customHeight="1">
      <c r="A40" s="97" t="s">
        <v>6291</v>
      </c>
      <c r="B40" s="43" t="s">
        <v>3732</v>
      </c>
      <c r="C40" s="101" t="s">
        <v>404</v>
      </c>
      <c r="D40" s="1022" t="str">
        <f>ROUND(S_BHaus_Ptdp*Belarus*(1-D94),2)&amp;" Врн"</f>
        <v>779 Врн</v>
      </c>
      <c r="E40" s="1022" t="str">
        <f>ROUND(S_BHaus_Pt*Belarus*(1-D94),2)&amp;" НН,Врн"</f>
        <v>647 НН,Врн</v>
      </c>
      <c r="F40" s="1021" t="str">
        <f>ROUND(S_BHaus_Sf*Belarus*(1-D94),2)&amp;" Врн"</f>
        <v>679 Врн</v>
      </c>
      <c r="G40" s="1021" t="s">
        <v>369</v>
      </c>
      <c r="H40" s="1023" t="str">
        <f>ROUND(S_BHaus_Q*Belarus*(1-H94),2)&amp;" Врн"</f>
        <v>749 Врн</v>
      </c>
      <c r="I40" s="1024" t="str">
        <f>ROUND(S_BHaus_Ql*Belarus*(1-H94),2)&amp;" Врн"</f>
        <v>604 Врн</v>
      </c>
      <c r="J40" s="1024" t="str">
        <f>ROUND(S_BHaus_Vel*Belarus*(1-H94),2)&amp;" Врн"</f>
        <v>593 Врн</v>
      </c>
      <c r="K40" s="1024" t="str">
        <f>ROUND(S_BHaus_Atl*Belarus*(1-H94),2)&amp;" Врн"</f>
        <v>571 Врн</v>
      </c>
      <c r="L40" s="1022" t="str">
        <f>ROUND(S_BHaus_Pur*Belarus*(1-L94),2)&amp;" Врн"</f>
        <v>827 Врн</v>
      </c>
      <c r="M40" s="1022" t="str">
        <f>ROUND(S_BHaus_Pdx*Belarus*(1-M94),2)&amp;" Врн"</f>
        <v>537 Врн</v>
      </c>
      <c r="N40" s="1022" t="str">
        <f>ROUND(S_BHaus_Pdxmatt*Belarus*(1-N94),2)&amp;" Врн"</f>
        <v>547 Врн</v>
      </c>
      <c r="O40" s="1022" t="s">
        <v>369</v>
      </c>
      <c r="P40" s="1028" t="s">
        <v>369</v>
      </c>
      <c r="Q40" s="1024" t="str">
        <f>ROUND(S_BHaus_Dr*Belarus*(1-Q98),2)&amp;" Врн"</f>
        <v>445 Врн</v>
      </c>
      <c r="R40" s="1024" t="str">
        <f>ROUND(S_BHaus_Sat*Belarus*(1-R98),2)&amp;" Врн"</f>
        <v>455 Врн</v>
      </c>
      <c r="S40" s="1110" t="s">
        <v>369</v>
      </c>
      <c r="T40" s="1110" t="s">
        <v>369</v>
      </c>
      <c r="U40" s="1110" t="s">
        <v>369</v>
      </c>
      <c r="V40" s="1110" t="s">
        <v>369</v>
      </c>
      <c r="W40" s="1109" t="str">
        <f>ROUND(S_BHaus_Pe045*Belarus*(1-W98),2)&amp;" Врн"</f>
        <v>416 Врн</v>
      </c>
      <c r="X40" s="1110" t="s">
        <v>369</v>
      </c>
      <c r="Y40" s="1024" t="s">
        <v>369</v>
      </c>
      <c r="Z40" s="1026" t="s">
        <v>369</v>
      </c>
      <c r="AA40" s="1027" t="s">
        <v>369</v>
      </c>
      <c r="AB40" s="1022" t="s">
        <v>369</v>
      </c>
      <c r="AC40" s="1022" t="s">
        <v>369</v>
      </c>
      <c r="AD40" s="1022" t="s">
        <v>369</v>
      </c>
      <c r="AE40" s="1022" t="s">
        <v>369</v>
      </c>
      <c r="AF40" s="1022" t="s">
        <v>369</v>
      </c>
      <c r="AG40" s="1022" t="s">
        <v>369</v>
      </c>
      <c r="AH40" s="1022" t="s">
        <v>369</v>
      </c>
    </row>
    <row r="41" spans="1:34" s="96" customFormat="1" ht="16.5" customHeight="1">
      <c r="A41" s="97" t="s">
        <v>6741</v>
      </c>
      <c r="B41" s="43" t="s">
        <v>409</v>
      </c>
      <c r="C41" s="101" t="s">
        <v>404</v>
      </c>
      <c r="D41" s="1022">
        <f>ROUND(S_BHausNew_Ptdp*Belarus*(1-D94),2)</f>
        <v>779</v>
      </c>
      <c r="E41" s="1022">
        <f>ROUND(S_BHausNew_Pt*Belarus*(1-D94),2)</f>
        <v>647</v>
      </c>
      <c r="F41" s="1021">
        <f>ROUND(S_BHausNew_Sf*Belarus*(1-D94),2)</f>
        <v>679</v>
      </c>
      <c r="G41" s="1021" t="s">
        <v>369</v>
      </c>
      <c r="H41" s="1023">
        <f>ROUND(S_BHausNew_Q*Belarus*(1-H94),2)</f>
        <v>749</v>
      </c>
      <c r="I41" s="1024">
        <f>ROUND(S_BHausNew_Ql*Belarus*(1-H94),2)</f>
        <v>604</v>
      </c>
      <c r="J41" s="1024">
        <f>ROUND(S_BHausNew_Vel*Belarus*(1-H94),2)</f>
        <v>593</v>
      </c>
      <c r="K41" s="1024">
        <f>ROUND(S_BHausNew_Atl*Belarus*(1-H94),2)</f>
        <v>571</v>
      </c>
      <c r="L41" s="1022">
        <f>ROUND(S_BHausNew_Pur*Belarus*(1-L94),2)</f>
        <v>827</v>
      </c>
      <c r="M41" s="1022">
        <f>ROUND(S_BHausNew_Pdx*Belarus*(1-M94),2)</f>
        <v>537</v>
      </c>
      <c r="N41" s="1022">
        <f>ROUND(S_BHausNew_Pdxmatt*Belarus*(1-N94),2)</f>
        <v>547</v>
      </c>
      <c r="O41" s="1022">
        <f>ROUND(S_BHausNew_StBarhat*Belarus*(1-O94),2)</f>
        <v>515</v>
      </c>
      <c r="P41" s="1028" t="s">
        <v>369</v>
      </c>
      <c r="Q41" s="1024">
        <f>ROUND(S_BHausNew_Dr*Belarus*(1-Q98),2)</f>
        <v>445</v>
      </c>
      <c r="R41" s="1024">
        <f>ROUND(S_BHausNew_Sat*Belarus*(1-R98),2)</f>
        <v>455</v>
      </c>
      <c r="S41" s="1110" t="s">
        <v>369</v>
      </c>
      <c r="T41" s="1110" t="s">
        <v>369</v>
      </c>
      <c r="U41" s="1110" t="s">
        <v>369</v>
      </c>
      <c r="V41" s="1110" t="s">
        <v>369</v>
      </c>
      <c r="W41" s="1109">
        <f>ROUND(S_BHausNew_Pe045*Belarus*(1-W98),2)</f>
        <v>416</v>
      </c>
      <c r="X41" s="1110" t="s">
        <v>369</v>
      </c>
      <c r="Y41" s="1024" t="s">
        <v>369</v>
      </c>
      <c r="Z41" s="1026" t="s">
        <v>369</v>
      </c>
      <c r="AA41" s="1027" t="s">
        <v>369</v>
      </c>
      <c r="AB41" s="1022" t="s">
        <v>369</v>
      </c>
      <c r="AC41" s="1022" t="s">
        <v>369</v>
      </c>
      <c r="AD41" s="1022" t="s">
        <v>369</v>
      </c>
      <c r="AE41" s="1022" t="s">
        <v>369</v>
      </c>
      <c r="AF41" s="1022" t="s">
        <v>369</v>
      </c>
      <c r="AG41" s="1022" t="s">
        <v>369</v>
      </c>
      <c r="AH41" s="1022" t="s">
        <v>369</v>
      </c>
    </row>
    <row r="42" spans="1:34" s="96" customFormat="1" ht="18" customHeight="1">
      <c r="A42" s="82" t="s">
        <v>410</v>
      </c>
      <c r="B42" s="83"/>
      <c r="C42" s="83"/>
      <c r="D42" s="1033"/>
      <c r="E42" s="1033"/>
      <c r="F42" s="1033"/>
      <c r="G42" s="1033"/>
      <c r="H42" s="1033"/>
      <c r="I42" s="1033"/>
      <c r="J42" s="1033"/>
      <c r="K42" s="1033"/>
      <c r="L42" s="1033"/>
      <c r="M42" s="1033"/>
      <c r="N42" s="1033"/>
      <c r="O42" s="1033"/>
      <c r="P42" s="457"/>
      <c r="Q42" s="1033"/>
      <c r="R42" s="1033"/>
      <c r="S42" s="1033"/>
      <c r="T42" s="1033"/>
      <c r="U42" s="1033"/>
      <c r="V42" s="1033"/>
      <c r="W42" s="1033"/>
      <c r="X42" s="1033"/>
      <c r="Y42" s="1033"/>
      <c r="Z42" s="1033"/>
      <c r="AA42" s="1033"/>
      <c r="AB42" s="1033"/>
      <c r="AC42" s="1033"/>
      <c r="AD42" s="1033"/>
      <c r="AE42" s="1033"/>
      <c r="AF42" s="1033"/>
      <c r="AG42" s="1033"/>
      <c r="AH42" s="1034"/>
    </row>
    <row r="43" spans="1:34" s="96" customFormat="1" ht="15">
      <c r="A43" s="97" t="s">
        <v>411</v>
      </c>
      <c r="B43" s="43" t="s">
        <v>412</v>
      </c>
      <c r="C43" s="101" t="s">
        <v>413</v>
      </c>
      <c r="D43" s="1022">
        <f>ROUND(Shtaket_MP_Ptdp*Belarus*(1-D100),2)</f>
        <v>168</v>
      </c>
      <c r="E43" s="1022">
        <f>ROUND(Shtaket_MP_Pt*Belarus*(1-D100),2)</f>
        <v>113</v>
      </c>
      <c r="F43" s="1021">
        <f>ROUND(Shtaket_MP_Sf*Belarus*(1-D100),2)</f>
        <v>115</v>
      </c>
      <c r="G43" s="1022">
        <f>ROUND(Shtaket_MP_Ptdach*Belarus*(1-D100),2)</f>
        <v>95</v>
      </c>
      <c r="H43" s="1023">
        <f>ROUND(Shtaket_MP_Q*Belarus*(1-D100),2)</f>
        <v>116</v>
      </c>
      <c r="I43" s="1024">
        <f>ROUND(Shtaket_MP_Ql*Belarus*(1-D100),2)</f>
        <v>107</v>
      </c>
      <c r="J43" s="1024">
        <f>ROUND(Shtaket_MP_Vel*Belarus*(1-D100),2)</f>
        <v>105</v>
      </c>
      <c r="K43" s="1024">
        <f>ROUND(Shtaket_MP_Atl*Belarus*(1-D100),2)</f>
        <v>97</v>
      </c>
      <c r="L43" s="1022">
        <f>ROUND(Shtaket_MP_Pur*Belarus*(1-D100),2)</f>
        <v>148</v>
      </c>
      <c r="M43" s="1022">
        <f>ROUND(Shtaket_MP_Pdx*Belarus*(1-D100),2)</f>
        <v>99</v>
      </c>
      <c r="N43" s="1022">
        <f>ROUND(Shtaket_MP_Pdxmatt*Belarus*(1-D100),2)</f>
        <v>109</v>
      </c>
      <c r="O43" s="1022">
        <f>ROUND(Shtaket_MP_StBarhat*Belarus*(1-D100),2)</f>
        <v>95</v>
      </c>
      <c r="P43" s="1025" t="str">
        <f>ROUND(Shtaket_MP_PtNN*Belarus*(1-D100),2)&amp;" НН"</f>
        <v>101 НН</v>
      </c>
      <c r="Q43" s="1024">
        <f>ROUND(Shtaket_MP_Dr*Belarus*(1-D100),2)</f>
        <v>82</v>
      </c>
      <c r="R43" s="1024">
        <f>ROUND(Shtaket_MP_Sat*Belarus*(1-D100),2)</f>
        <v>85</v>
      </c>
      <c r="S43" s="1110">
        <f>ROUND(Shtaket_MP_PEdp*Belarus*(1-D100),2)</f>
        <v>85</v>
      </c>
      <c r="T43" s="1110" t="s">
        <v>369</v>
      </c>
      <c r="U43" s="1110" t="s">
        <v>369</v>
      </c>
      <c r="V43" s="1110" t="s">
        <v>369</v>
      </c>
      <c r="W43" s="1109">
        <f>ROUND(Shtaket_MP_Pe045*Belarus*(1-D100),2)</f>
        <v>80</v>
      </c>
      <c r="X43" s="1022" t="str">
        <f>ROUND(Shtaket_MP_Pe04*Belarus*(1-D100),2)&amp;" (4)"</f>
        <v>77 (4)</v>
      </c>
      <c r="Y43" s="1024" t="s">
        <v>369</v>
      </c>
      <c r="Z43" s="1026" t="s">
        <v>369</v>
      </c>
      <c r="AA43" s="1027" t="s">
        <v>369</v>
      </c>
      <c r="AB43" s="1022" t="s">
        <v>369</v>
      </c>
      <c r="AC43" s="1022" t="s">
        <v>369</v>
      </c>
      <c r="AD43" s="1022" t="s">
        <v>369</v>
      </c>
      <c r="AE43" s="1022" t="s">
        <v>369</v>
      </c>
      <c r="AF43" s="1022" t="s">
        <v>369</v>
      </c>
      <c r="AG43" s="1022" t="s">
        <v>369</v>
      </c>
      <c r="AH43" s="1022" t="s">
        <v>369</v>
      </c>
    </row>
    <row r="44" spans="1:34" s="96" customFormat="1" ht="15">
      <c r="A44" s="97" t="s">
        <v>414</v>
      </c>
      <c r="B44" s="43" t="s">
        <v>412</v>
      </c>
      <c r="C44" s="101" t="s">
        <v>413</v>
      </c>
      <c r="D44" s="1022">
        <f>ROUND(Shtaket_MPf_Ptdp*Belarus*(1-D100),2)</f>
        <v>171</v>
      </c>
      <c r="E44" s="1022">
        <f>ROUND(Shtaket_MPf_Pt*Belarus*(1-D100),2)</f>
        <v>116</v>
      </c>
      <c r="F44" s="1021">
        <f>ROUND(Shtaket_MPf_Sf*Belarus*(1-D100),2)</f>
        <v>119</v>
      </c>
      <c r="G44" s="1022">
        <f>ROUND(Shtaket_MPf_Ptdach*Belarus*(1-D100),2)</f>
        <v>98</v>
      </c>
      <c r="H44" s="1023">
        <f>ROUND(Shtaket_MPf_Q*Belarus*(1-D100),2)</f>
        <v>120</v>
      </c>
      <c r="I44" s="1024">
        <f>ROUND(Shtaket_MPf_Ql*Belarus*(1-D100),2)</f>
        <v>111</v>
      </c>
      <c r="J44" s="1024">
        <f>ROUND(Shtaket_MPf_Vel*Belarus*(1-D100),2)</f>
        <v>109</v>
      </c>
      <c r="K44" s="1024">
        <f>ROUND(Shtaket_MPf_Atl*Belarus*(1-D100),2)</f>
        <v>101</v>
      </c>
      <c r="L44" s="1022">
        <f>ROUND(Shtaket_MPf_Pur*Belarus*(1-D100),2)</f>
        <v>151</v>
      </c>
      <c r="M44" s="1022">
        <f>ROUND(Shtaket_MPf_Pdx*Belarus*(1-D100),2)</f>
        <v>103</v>
      </c>
      <c r="N44" s="1022">
        <f>ROUND(Shtaket_MPf_Pdxmatt*Belarus*(1-D100),2)</f>
        <v>113</v>
      </c>
      <c r="O44" s="1022">
        <f>ROUND(Shtaket_MPf_StBarhat*Belarus*(1-D100),2)</f>
        <v>98</v>
      </c>
      <c r="P44" s="1025" t="str">
        <f>ROUND(Shtaket_MPf_PtNN*Belarus*(1-D100),2)&amp;" НН"</f>
        <v>105 НН</v>
      </c>
      <c r="Q44" s="1024">
        <f>ROUND(Shtaket_MPf_Dr*Belarus*(1-D100),2)</f>
        <v>85</v>
      </c>
      <c r="R44" s="1024">
        <f>ROUND(Shtaket_MPf_Sat*Belarus*(1-D100),2)</f>
        <v>88</v>
      </c>
      <c r="S44" s="1110">
        <f>ROUND(Shtaket_MPf_PEdp*Belarus*(1-D100),2)</f>
        <v>88</v>
      </c>
      <c r="T44" s="1110" t="s">
        <v>369</v>
      </c>
      <c r="U44" s="1110" t="s">
        <v>369</v>
      </c>
      <c r="V44" s="1110" t="s">
        <v>369</v>
      </c>
      <c r="W44" s="1109">
        <f>ROUND(Shtaket_MPf_Pe045*Belarus*(1-D100),2)</f>
        <v>83</v>
      </c>
      <c r="X44" s="1022" t="str">
        <f>ROUND(Shtaket_MPf_Pe04*Belarus*(1-D100),2)&amp;" (4)"</f>
        <v>80 (4)</v>
      </c>
      <c r="Y44" s="1024" t="s">
        <v>369</v>
      </c>
      <c r="Z44" s="1026" t="s">
        <v>369</v>
      </c>
      <c r="AA44" s="1027" t="s">
        <v>369</v>
      </c>
      <c r="AB44" s="1022" t="s">
        <v>369</v>
      </c>
      <c r="AC44" s="1022" t="s">
        <v>369</v>
      </c>
      <c r="AD44" s="1022" t="s">
        <v>369</v>
      </c>
      <c r="AE44" s="1022" t="s">
        <v>369</v>
      </c>
      <c r="AF44" s="1022" t="s">
        <v>369</v>
      </c>
      <c r="AG44" s="1022" t="s">
        <v>369</v>
      </c>
      <c r="AH44" s="1022" t="s">
        <v>369</v>
      </c>
    </row>
    <row r="45" spans="1:34" s="96" customFormat="1" ht="15">
      <c r="A45" s="97" t="s">
        <v>305</v>
      </c>
      <c r="B45" s="43" t="s">
        <v>415</v>
      </c>
      <c r="C45" s="101" t="s">
        <v>416</v>
      </c>
      <c r="D45" s="1035" t="str">
        <f>ROUND(Shtaket_Kr_Ptdp*Belarus*(1-D100),2)&amp;" руб. в покрытии Print 0,45 двс"</f>
        <v>195 руб. в покрытии Print 0,45 двс</v>
      </c>
      <c r="E45" s="1036"/>
      <c r="F45" s="1036"/>
      <c r="G45" s="1036"/>
      <c r="H45" s="1023" t="s">
        <v>369</v>
      </c>
      <c r="I45" s="1024" t="s">
        <v>369</v>
      </c>
      <c r="J45" s="1024">
        <f>ROUND(Shtaket_Kr_Vel*Belarus*(1-D100),2)</f>
        <v>131</v>
      </c>
      <c r="K45" s="1024" t="s">
        <v>369</v>
      </c>
      <c r="L45" s="1022" t="s">
        <v>369</v>
      </c>
      <c r="M45" s="1022" t="s">
        <v>369</v>
      </c>
      <c r="N45" s="1022" t="s">
        <v>369</v>
      </c>
      <c r="O45" s="1022" t="s">
        <v>369</v>
      </c>
      <c r="P45" s="1024" t="s">
        <v>369</v>
      </c>
      <c r="Q45" s="1024" t="s">
        <v>369</v>
      </c>
      <c r="R45" s="1024" t="s">
        <v>369</v>
      </c>
      <c r="S45" s="1022">
        <f>ROUND(Shtaket_Kr_PEdp*Belarus*(1-D100),2)</f>
        <v>97</v>
      </c>
      <c r="T45" s="1022" t="s">
        <v>369</v>
      </c>
      <c r="U45" s="1022" t="s">
        <v>369</v>
      </c>
      <c r="V45" s="1022" t="s">
        <v>369</v>
      </c>
      <c r="W45" s="1021">
        <f>ROUND(Shtaket_Kr_Pe045*Belarus*(1-D100),2)</f>
        <v>96</v>
      </c>
      <c r="X45" s="1022">
        <f>ROUND(Shtaket_Kr_Pe04*Belarus*(1-D100),2)</f>
        <v>93</v>
      </c>
      <c r="Y45" s="1024" t="s">
        <v>369</v>
      </c>
      <c r="Z45" s="1026" t="s">
        <v>369</v>
      </c>
      <c r="AA45" s="1027" t="s">
        <v>369</v>
      </c>
      <c r="AB45" s="1022" t="s">
        <v>369</v>
      </c>
      <c r="AC45" s="1022" t="s">
        <v>369</v>
      </c>
      <c r="AD45" s="1022" t="s">
        <v>369</v>
      </c>
      <c r="AE45" s="1022" t="s">
        <v>369</v>
      </c>
      <c r="AF45" s="1022" t="s">
        <v>369</v>
      </c>
      <c r="AG45" s="1022" t="s">
        <v>369</v>
      </c>
      <c r="AH45" s="1022" t="s">
        <v>369</v>
      </c>
    </row>
    <row r="46" spans="1:34" s="96" customFormat="1" ht="15">
      <c r="A46" s="86" t="s">
        <v>293</v>
      </c>
      <c r="B46" s="43" t="s">
        <v>417</v>
      </c>
      <c r="C46" s="101" t="s">
        <v>416</v>
      </c>
      <c r="D46" s="1035" t="str">
        <f>ROUND(Shtaket_Pr_Ptdp*Belarus*(1-D100),2)&amp;" руб. в покрытии Print 0,45 двс"</f>
        <v>195 руб. в покрытии Print 0,45 двс</v>
      </c>
      <c r="E46" s="1036"/>
      <c r="F46" s="1036"/>
      <c r="G46" s="1036"/>
      <c r="H46" s="1023" t="s">
        <v>369</v>
      </c>
      <c r="I46" s="1024" t="s">
        <v>369</v>
      </c>
      <c r="J46" s="1024">
        <f>ROUND(Shtaket_Pr_Vel*Belarus*(1-D100),2)</f>
        <v>131</v>
      </c>
      <c r="K46" s="1024" t="s">
        <v>369</v>
      </c>
      <c r="L46" s="1022" t="s">
        <v>369</v>
      </c>
      <c r="M46" s="1022" t="s">
        <v>369</v>
      </c>
      <c r="N46" s="1022" t="s">
        <v>369</v>
      </c>
      <c r="O46" s="1022" t="s">
        <v>369</v>
      </c>
      <c r="P46" s="1024" t="s">
        <v>369</v>
      </c>
      <c r="Q46" s="1024" t="s">
        <v>369</v>
      </c>
      <c r="R46" s="1024" t="s">
        <v>369</v>
      </c>
      <c r="S46" s="1022">
        <f>ROUND(Shtaket_Pr_PEdp*Belarus*(1-D100),2)</f>
        <v>97</v>
      </c>
      <c r="T46" s="1022" t="s">
        <v>369</v>
      </c>
      <c r="U46" s="1022" t="s">
        <v>369</v>
      </c>
      <c r="V46" s="1022" t="s">
        <v>369</v>
      </c>
      <c r="W46" s="1021">
        <f>ROUND(Shtaket_Pr_Pe045*Belarus*(1-D100),2)</f>
        <v>96</v>
      </c>
      <c r="X46" s="1022">
        <f>ROUND(Shtaket_Pr_Pe04*Belarus*(1-D100),2)</f>
        <v>93</v>
      </c>
      <c r="Y46" s="1024" t="s">
        <v>369</v>
      </c>
      <c r="Z46" s="1026" t="s">
        <v>369</v>
      </c>
      <c r="AA46" s="1027" t="s">
        <v>369</v>
      </c>
      <c r="AB46" s="1022" t="s">
        <v>369</v>
      </c>
      <c r="AC46" s="1022" t="s">
        <v>369</v>
      </c>
      <c r="AD46" s="1022" t="s">
        <v>369</v>
      </c>
      <c r="AE46" s="1022" t="s">
        <v>369</v>
      </c>
      <c r="AF46" s="1022" t="s">
        <v>369</v>
      </c>
      <c r="AG46" s="1022" t="s">
        <v>369</v>
      </c>
      <c r="AH46" s="1022" t="s">
        <v>369</v>
      </c>
    </row>
    <row r="47" spans="1:34" s="96" customFormat="1" ht="15">
      <c r="A47" s="97" t="s">
        <v>418</v>
      </c>
      <c r="B47" s="43" t="s">
        <v>415</v>
      </c>
      <c r="C47" s="101" t="s">
        <v>416</v>
      </c>
      <c r="D47" s="1035" t="str">
        <f>ROUND(Shtaket_Krf_Ptdp*Belarus*(1-D100),2)&amp;" руб. в покрытии Print 0,45 двс"</f>
        <v>199 руб. в покрытии Print 0,45 двс</v>
      </c>
      <c r="E47" s="1036"/>
      <c r="F47" s="1036"/>
      <c r="G47" s="1036"/>
      <c r="H47" s="1023" t="s">
        <v>369</v>
      </c>
      <c r="I47" s="1024" t="s">
        <v>369</v>
      </c>
      <c r="J47" s="1024">
        <f>ROUND(Shtaket_Krf_Vel*Belarus*(1-D100),2)</f>
        <v>134</v>
      </c>
      <c r="K47" s="1024" t="s">
        <v>369</v>
      </c>
      <c r="L47" s="1022" t="s">
        <v>369</v>
      </c>
      <c r="M47" s="1022" t="s">
        <v>369</v>
      </c>
      <c r="N47" s="1022" t="s">
        <v>369</v>
      </c>
      <c r="O47" s="1022" t="s">
        <v>369</v>
      </c>
      <c r="P47" s="1024" t="s">
        <v>369</v>
      </c>
      <c r="Q47" s="1024" t="s">
        <v>369</v>
      </c>
      <c r="R47" s="1024" t="s">
        <v>369</v>
      </c>
      <c r="S47" s="1022">
        <f>ROUND(Shtaket_Krf_PEdp*Belarus*(1-D100),2)</f>
        <v>101</v>
      </c>
      <c r="T47" s="1022" t="s">
        <v>369</v>
      </c>
      <c r="U47" s="1022" t="s">
        <v>369</v>
      </c>
      <c r="V47" s="1022" t="s">
        <v>369</v>
      </c>
      <c r="W47" s="1021">
        <f>ROUND(Shtaket_Krf_Pe045*Belarus*(1-D100),2)</f>
        <v>100</v>
      </c>
      <c r="X47" s="1022">
        <f>ROUND(Shtaket_Krf_Pe04*Belarus*(1-D100),2)</f>
        <v>97</v>
      </c>
      <c r="Y47" s="1024" t="s">
        <v>369</v>
      </c>
      <c r="Z47" s="1026" t="s">
        <v>369</v>
      </c>
      <c r="AA47" s="1027" t="s">
        <v>369</v>
      </c>
      <c r="AB47" s="1022" t="s">
        <v>369</v>
      </c>
      <c r="AC47" s="1022" t="s">
        <v>369</v>
      </c>
      <c r="AD47" s="1022" t="s">
        <v>369</v>
      </c>
      <c r="AE47" s="1022" t="s">
        <v>369</v>
      </c>
      <c r="AF47" s="1022" t="s">
        <v>369</v>
      </c>
      <c r="AG47" s="1022" t="s">
        <v>369</v>
      </c>
      <c r="AH47" s="1022" t="s">
        <v>369</v>
      </c>
    </row>
    <row r="48" spans="1:34" s="96" customFormat="1" ht="15">
      <c r="A48" s="86" t="s">
        <v>419</v>
      </c>
      <c r="B48" s="43" t="s">
        <v>417</v>
      </c>
      <c r="C48" s="101" t="s">
        <v>416</v>
      </c>
      <c r="D48" s="1035" t="str">
        <f>ROUND(Shtaket_Prf_Ptdp*Belarus*(1-D100),2)&amp;" руб. в покрытии Print 0,45 двс"</f>
        <v>199 руб. в покрытии Print 0,45 двс</v>
      </c>
      <c r="E48" s="1036"/>
      <c r="F48" s="1036"/>
      <c r="G48" s="1036"/>
      <c r="H48" s="1023" t="s">
        <v>369</v>
      </c>
      <c r="I48" s="1024" t="s">
        <v>369</v>
      </c>
      <c r="J48" s="1024">
        <f>ROUND(Shtaket_Prf_Vel*Belarus*(1-D100),2)</f>
        <v>134</v>
      </c>
      <c r="K48" s="1024" t="s">
        <v>369</v>
      </c>
      <c r="L48" s="1022" t="s">
        <v>369</v>
      </c>
      <c r="M48" s="1022" t="s">
        <v>369</v>
      </c>
      <c r="N48" s="1022" t="s">
        <v>369</v>
      </c>
      <c r="O48" s="1022" t="s">
        <v>369</v>
      </c>
      <c r="P48" s="1024" t="s">
        <v>369</v>
      </c>
      <c r="Q48" s="1024" t="s">
        <v>369</v>
      </c>
      <c r="R48" s="1024" t="s">
        <v>369</v>
      </c>
      <c r="S48" s="1022">
        <f>ROUND(Shtaket_Prf_PEdp*Belarus*(1-D100),2)</f>
        <v>101</v>
      </c>
      <c r="T48" s="1022" t="s">
        <v>369</v>
      </c>
      <c r="U48" s="1022" t="s">
        <v>369</v>
      </c>
      <c r="V48" s="1022" t="s">
        <v>369</v>
      </c>
      <c r="W48" s="1021">
        <f>ROUND(Shtaket_Prf_Pe045*Belarus*(1-D100),2)</f>
        <v>100</v>
      </c>
      <c r="X48" s="1022">
        <f>ROUND(Shtaket_Prf_Pe04*Belarus*(1-D100),2)</f>
        <v>97</v>
      </c>
      <c r="Y48" s="1024" t="s">
        <v>369</v>
      </c>
      <c r="Z48" s="1026" t="s">
        <v>369</v>
      </c>
      <c r="AA48" s="1027" t="s">
        <v>369</v>
      </c>
      <c r="AB48" s="1022" t="s">
        <v>369</v>
      </c>
      <c r="AC48" s="1022" t="s">
        <v>369</v>
      </c>
      <c r="AD48" s="1022" t="s">
        <v>369</v>
      </c>
      <c r="AE48" s="1022" t="s">
        <v>369</v>
      </c>
      <c r="AF48" s="1022" t="s">
        <v>369</v>
      </c>
      <c r="AG48" s="1022" t="s">
        <v>369</v>
      </c>
      <c r="AH48" s="1022" t="s">
        <v>369</v>
      </c>
    </row>
    <row r="49" spans="1:35" s="96" customFormat="1">
      <c r="A49" s="46"/>
      <c r="B49" s="46"/>
      <c r="C49" s="46"/>
      <c r="D49" s="46"/>
      <c r="E49" s="46"/>
      <c r="F49" s="46"/>
      <c r="G49" s="46"/>
      <c r="H49" s="46"/>
      <c r="I49" s="46"/>
      <c r="J49" s="46"/>
      <c r="K49" s="46"/>
      <c r="L49" s="46"/>
      <c r="M49" s="46"/>
      <c r="N49" s="46"/>
      <c r="O49" s="46"/>
      <c r="P49" s="46"/>
      <c r="Q49" s="46"/>
      <c r="R49" s="46"/>
      <c r="S49" s="46"/>
      <c r="T49" s="46"/>
      <c r="U49" s="46"/>
      <c r="V49" s="46"/>
      <c r="W49" s="46"/>
      <c r="X49" s="54"/>
      <c r="Y49" s="46"/>
      <c r="Z49" s="46"/>
      <c r="AA49" s="46"/>
      <c r="AB49" s="46"/>
      <c r="AC49" s="46"/>
      <c r="AD49" s="46"/>
      <c r="AE49" s="46"/>
      <c r="AF49" s="46"/>
      <c r="AG49" s="46"/>
      <c r="AH49" s="46"/>
    </row>
    <row r="50" spans="1:35" s="96" customFormat="1">
      <c r="A50" s="1388" t="s">
        <v>420</v>
      </c>
      <c r="B50" s="1388"/>
      <c r="C50" s="1388"/>
      <c r="D50" s="1388"/>
      <c r="E50" s="1388"/>
      <c r="F50" s="1388"/>
      <c r="G50" s="1388"/>
      <c r="H50" s="1388"/>
      <c r="I50" s="1388"/>
      <c r="J50" s="108"/>
      <c r="K50" s="1434" t="s">
        <v>421</v>
      </c>
      <c r="L50" s="1435"/>
      <c r="M50" s="1435"/>
      <c r="N50" s="1435"/>
      <c r="O50" s="1435"/>
      <c r="P50" s="1435"/>
      <c r="Q50" s="1436"/>
      <c r="R50" s="99" t="s">
        <v>422</v>
      </c>
      <c r="S50" s="46"/>
      <c r="T50" s="1437" t="s">
        <v>423</v>
      </c>
      <c r="U50" s="1438"/>
      <c r="V50" s="1438"/>
      <c r="W50" s="1438"/>
      <c r="X50" s="1438"/>
      <c r="Y50" s="1439"/>
      <c r="Z50" s="99" t="s">
        <v>422</v>
      </c>
      <c r="AA50" s="109"/>
      <c r="AB50" s="1437" t="s">
        <v>424</v>
      </c>
      <c r="AC50" s="1438"/>
      <c r="AD50" s="1438"/>
      <c r="AE50" s="1438"/>
      <c r="AF50" s="1438"/>
      <c r="AG50" s="1439"/>
      <c r="AH50" s="99" t="s">
        <v>422</v>
      </c>
    </row>
    <row r="51" spans="1:35" s="96" customFormat="1" ht="12.75" customHeight="1">
      <c r="A51" s="1296" t="s">
        <v>3712</v>
      </c>
      <c r="B51" s="1296"/>
      <c r="C51" s="1296"/>
      <c r="D51" s="1296"/>
      <c r="E51" s="1296"/>
      <c r="F51" s="1296"/>
      <c r="G51" s="1296"/>
      <c r="H51" s="1296"/>
      <c r="I51" s="1296"/>
      <c r="J51" s="108"/>
      <c r="K51" s="1409" t="s">
        <v>426</v>
      </c>
      <c r="L51" s="1410"/>
      <c r="M51" s="1410"/>
      <c r="N51" s="1410"/>
      <c r="O51" s="1410"/>
      <c r="P51" s="1410"/>
      <c r="Q51" s="1411"/>
      <c r="R51" s="114">
        <f>360*Belarus</f>
        <v>360</v>
      </c>
      <c r="S51" s="46"/>
      <c r="T51" s="1409" t="s">
        <v>427</v>
      </c>
      <c r="U51" s="1410"/>
      <c r="V51" s="1410"/>
      <c r="W51" s="1410"/>
      <c r="X51" s="1410"/>
      <c r="Y51" s="1411"/>
      <c r="Z51" s="87">
        <f>5800*Belarus</f>
        <v>5800</v>
      </c>
      <c r="AA51" s="109"/>
      <c r="AB51" s="1409" t="s">
        <v>428</v>
      </c>
      <c r="AC51" s="1410"/>
      <c r="AD51" s="1410"/>
      <c r="AE51" s="1410"/>
      <c r="AF51" s="1410"/>
      <c r="AG51" s="1411"/>
      <c r="AH51" s="87">
        <f>550*Belarus</f>
        <v>550</v>
      </c>
    </row>
    <row r="52" spans="1:35" s="96" customFormat="1" ht="20.25" customHeight="1">
      <c r="A52" s="1351" t="s">
        <v>6767</v>
      </c>
      <c r="B52" s="1351"/>
      <c r="C52" s="1351"/>
      <c r="D52" s="1351"/>
      <c r="E52" s="1351"/>
      <c r="F52" s="1351"/>
      <c r="G52" s="1351"/>
      <c r="H52" s="1351"/>
      <c r="I52" s="1351"/>
      <c r="J52" s="108"/>
      <c r="K52" s="1431" t="s">
        <v>430</v>
      </c>
      <c r="L52" s="1432"/>
      <c r="M52" s="1432"/>
      <c r="N52" s="1432"/>
      <c r="O52" s="1432"/>
      <c r="P52" s="1432"/>
      <c r="Q52" s="1433"/>
      <c r="R52" s="87">
        <f>2200*Belarus</f>
        <v>2200</v>
      </c>
      <c r="S52" s="46"/>
      <c r="T52" s="1409" t="s">
        <v>431</v>
      </c>
      <c r="U52" s="1410"/>
      <c r="V52" s="1410"/>
      <c r="W52" s="1410"/>
      <c r="X52" s="1410"/>
      <c r="Y52" s="1411"/>
      <c r="Z52" s="87">
        <f>4*Belarus</f>
        <v>4</v>
      </c>
      <c r="AA52" s="109"/>
      <c r="AB52" s="1356" t="s">
        <v>432</v>
      </c>
      <c r="AC52" s="1357"/>
      <c r="AD52" s="1357"/>
      <c r="AE52" s="1357"/>
      <c r="AF52" s="1357"/>
      <c r="AG52" s="1358"/>
      <c r="AH52" s="87" t="str">
        <f>"от "&amp;(640*Belarus)</f>
        <v>от 640</v>
      </c>
      <c r="AI52" s="46"/>
    </row>
    <row r="53" spans="1:35" s="96" customFormat="1" ht="18.75" customHeight="1">
      <c r="A53" s="1351"/>
      <c r="B53" s="1351"/>
      <c r="C53" s="1351"/>
      <c r="D53" s="1351"/>
      <c r="E53" s="1351"/>
      <c r="F53" s="1351"/>
      <c r="G53" s="1351"/>
      <c r="H53" s="1351"/>
      <c r="I53" s="1351"/>
      <c r="J53" s="113"/>
      <c r="K53" s="1409" t="s">
        <v>433</v>
      </c>
      <c r="L53" s="1410"/>
      <c r="M53" s="1410"/>
      <c r="N53" s="1410"/>
      <c r="O53" s="1410"/>
      <c r="P53" s="1410"/>
      <c r="Q53" s="1411"/>
      <c r="R53" s="87">
        <f>2600*Belarus</f>
        <v>2600</v>
      </c>
      <c r="S53" s="46"/>
      <c r="T53" s="1409" t="s">
        <v>434</v>
      </c>
      <c r="U53" s="1410"/>
      <c r="V53" s="1410"/>
      <c r="W53" s="1410"/>
      <c r="X53" s="1410"/>
      <c r="Y53" s="1411"/>
      <c r="Z53" s="114" t="str">
        <f>"от "&amp;(1.5*Belarus)</f>
        <v>от 1,5</v>
      </c>
      <c r="AA53" s="109"/>
      <c r="AB53" s="1356" t="s">
        <v>435</v>
      </c>
      <c r="AC53" s="1357"/>
      <c r="AD53" s="1357"/>
      <c r="AE53" s="1357"/>
      <c r="AF53" s="1357"/>
      <c r="AG53" s="1358"/>
      <c r="AH53" s="87" t="str">
        <f>"от "&amp;(1066*Belarus)</f>
        <v>от 1066</v>
      </c>
      <c r="AI53" s="46"/>
    </row>
    <row r="54" spans="1:35" s="96" customFormat="1" ht="12.75" customHeight="1">
      <c r="A54" s="1344" t="s">
        <v>6655</v>
      </c>
      <c r="B54" s="1344"/>
      <c r="C54" s="1344"/>
      <c r="D54" s="1344"/>
      <c r="E54" s="1344"/>
      <c r="F54" s="1344"/>
      <c r="G54" s="1344"/>
      <c r="H54" s="1344"/>
      <c r="I54" s="1344"/>
      <c r="J54" s="113"/>
      <c r="K54" s="1406" t="s">
        <v>436</v>
      </c>
      <c r="L54" s="1407"/>
      <c r="M54" s="1407"/>
      <c r="N54" s="1407"/>
      <c r="O54" s="1407"/>
      <c r="P54" s="1407"/>
      <c r="Q54" s="1408"/>
      <c r="R54" s="87">
        <f>400*Belarus</f>
        <v>400</v>
      </c>
      <c r="S54" s="46"/>
      <c r="T54" s="1409" t="s">
        <v>437</v>
      </c>
      <c r="U54" s="1410"/>
      <c r="V54" s="1410"/>
      <c r="W54" s="1410"/>
      <c r="X54" s="1410"/>
      <c r="Y54" s="1411"/>
      <c r="Z54" s="87" t="str">
        <f>"от "&amp;(1401*Belarus)</f>
        <v>от 1401</v>
      </c>
      <c r="AA54" s="109"/>
      <c r="AB54" s="1356" t="s">
        <v>438</v>
      </c>
      <c r="AC54" s="1357"/>
      <c r="AD54" s="1357"/>
      <c r="AE54" s="1357"/>
      <c r="AF54" s="1357"/>
      <c r="AG54" s="1358"/>
      <c r="AH54" s="87" t="str">
        <f>"от "&amp;(1230*Belarus)</f>
        <v>от 1230</v>
      </c>
    </row>
    <row r="55" spans="1:35" ht="12.75" customHeight="1">
      <c r="A55" s="1351" t="s">
        <v>6341</v>
      </c>
      <c r="B55" s="1351"/>
      <c r="C55" s="1351"/>
      <c r="D55" s="1351"/>
      <c r="E55" s="1351"/>
      <c r="F55" s="1351"/>
      <c r="G55" s="1351"/>
      <c r="H55" s="1351"/>
      <c r="I55" s="1351"/>
      <c r="J55" s="113"/>
      <c r="K55" s="1428" t="s">
        <v>439</v>
      </c>
      <c r="L55" s="1429"/>
      <c r="M55" s="1429"/>
      <c r="N55" s="1429"/>
      <c r="O55" s="1429"/>
      <c r="P55" s="1429"/>
      <c r="Q55" s="1430"/>
      <c r="R55" s="87">
        <f>2950*Belarus</f>
        <v>2950</v>
      </c>
      <c r="T55" s="1409" t="s">
        <v>440</v>
      </c>
      <c r="U55" s="1410"/>
      <c r="V55" s="1410"/>
      <c r="W55" s="1410"/>
      <c r="X55" s="1410"/>
      <c r="Y55" s="1411"/>
      <c r="Z55" s="118" t="str">
        <f>"от "&amp;(3750*Belarus)</f>
        <v>от 3750</v>
      </c>
      <c r="AA55" s="109"/>
      <c r="AB55" s="1406" t="s">
        <v>441</v>
      </c>
      <c r="AC55" s="1407"/>
      <c r="AD55" s="1407"/>
      <c r="AE55" s="1407"/>
      <c r="AF55" s="1407"/>
      <c r="AG55" s="1408"/>
      <c r="AH55" s="87" t="str">
        <f>"от "&amp;(97*Belarus)</f>
        <v>от 97</v>
      </c>
    </row>
    <row r="56" spans="1:35">
      <c r="A56" s="1351"/>
      <c r="B56" s="1351"/>
      <c r="C56" s="1351"/>
      <c r="D56" s="1351"/>
      <c r="E56" s="1351"/>
      <c r="F56" s="1351"/>
      <c r="G56" s="1351"/>
      <c r="H56" s="1351"/>
      <c r="I56" s="1351"/>
      <c r="J56" s="113"/>
      <c r="K56" s="1406" t="s">
        <v>442</v>
      </c>
      <c r="L56" s="1407"/>
      <c r="M56" s="1407"/>
      <c r="N56" s="1407"/>
      <c r="O56" s="1407"/>
      <c r="P56" s="1407"/>
      <c r="Q56" s="1408"/>
      <c r="R56" s="87">
        <f>1450*Belarus</f>
        <v>1450</v>
      </c>
      <c r="T56" s="1409" t="s">
        <v>443</v>
      </c>
      <c r="U56" s="1410"/>
      <c r="V56" s="1410"/>
      <c r="W56" s="1410"/>
      <c r="X56" s="1410"/>
      <c r="Y56" s="1411"/>
      <c r="Z56" s="87" t="str">
        <f>"от "&amp;(689*Belarus)</f>
        <v>от 689</v>
      </c>
      <c r="AA56" s="109"/>
      <c r="AB56" s="1365" t="s">
        <v>444</v>
      </c>
      <c r="AC56" s="1366"/>
      <c r="AD56" s="1366"/>
      <c r="AE56" s="1366"/>
      <c r="AF56" s="1366"/>
      <c r="AG56" s="1367"/>
      <c r="AH56" s="111" t="str">
        <f>"от "&amp;(103*Belarus)</f>
        <v>от 103</v>
      </c>
    </row>
    <row r="57" spans="1:35" ht="12.75" customHeight="1">
      <c r="A57" s="1418" t="s">
        <v>6723</v>
      </c>
      <c r="B57" s="1419"/>
      <c r="C57" s="1419"/>
      <c r="D57" s="1419"/>
      <c r="E57" s="1419"/>
      <c r="F57" s="1419"/>
      <c r="G57" s="1419"/>
      <c r="H57" s="1419"/>
      <c r="I57" s="1420"/>
      <c r="J57" s="113"/>
      <c r="K57" s="1406" t="s">
        <v>445</v>
      </c>
      <c r="L57" s="1407"/>
      <c r="M57" s="1407"/>
      <c r="N57" s="1407"/>
      <c r="O57" s="1407"/>
      <c r="P57" s="1407"/>
      <c r="Q57" s="1408"/>
      <c r="R57" s="87">
        <f>120*Belarus</f>
        <v>120</v>
      </c>
      <c r="T57" s="1409" t="s">
        <v>446</v>
      </c>
      <c r="U57" s="1410"/>
      <c r="V57" s="1410"/>
      <c r="W57" s="1410"/>
      <c r="X57" s="1410"/>
      <c r="Y57" s="1411"/>
      <c r="Z57" s="87" t="str">
        <f>"от "&amp;(1380*Belarus)</f>
        <v>от 1380</v>
      </c>
      <c r="AA57" s="109"/>
      <c r="AB57" s="1356" t="s">
        <v>447</v>
      </c>
      <c r="AC57" s="1357"/>
      <c r="AD57" s="1357"/>
      <c r="AE57" s="1357"/>
      <c r="AF57" s="1357"/>
      <c r="AG57" s="1358"/>
      <c r="AH57" s="118" t="str">
        <f>"от "&amp;(590*Belarus)</f>
        <v>от 590</v>
      </c>
    </row>
    <row r="58" spans="1:35" ht="12.75" customHeight="1">
      <c r="A58" s="1421"/>
      <c r="B58" s="1422"/>
      <c r="C58" s="1422"/>
      <c r="D58" s="1422"/>
      <c r="E58" s="1422"/>
      <c r="F58" s="1422"/>
      <c r="G58" s="1422"/>
      <c r="H58" s="1422"/>
      <c r="I58" s="1423"/>
      <c r="J58" s="113"/>
      <c r="K58" s="1406" t="s">
        <v>450</v>
      </c>
      <c r="L58" s="1407"/>
      <c r="M58" s="1407"/>
      <c r="N58" s="1407"/>
      <c r="O58" s="1407"/>
      <c r="P58" s="1407"/>
      <c r="Q58" s="1408"/>
      <c r="R58" s="87" t="str">
        <f>"от " &amp;(2020*Belarus)</f>
        <v>от 2020</v>
      </c>
      <c r="T58" s="1409" t="s">
        <v>448</v>
      </c>
      <c r="U58" s="1410"/>
      <c r="V58" s="1410"/>
      <c r="W58" s="1410"/>
      <c r="X58" s="1410"/>
      <c r="Y58" s="1411"/>
      <c r="Z58" s="118">
        <f>16.9*Belarus</f>
        <v>16.899999999999999</v>
      </c>
      <c r="AA58" s="109"/>
      <c r="AB58" s="1409" t="s">
        <v>449</v>
      </c>
      <c r="AC58" s="1410"/>
      <c r="AD58" s="1410"/>
      <c r="AE58" s="1410"/>
      <c r="AF58" s="1410"/>
      <c r="AG58" s="1411"/>
      <c r="AH58" s="87">
        <f>1.25*Belarus</f>
        <v>1.25</v>
      </c>
    </row>
    <row r="59" spans="1:35" ht="12.75" customHeight="1">
      <c r="A59" s="1427" t="str">
        <f>"(6) Продукция в покрытии Ре 0,45 в цветах RAL 1018 и 2004 (кроме штакетника и доборных элементов) на "&amp;(18*Belarus)&amp;" рублей дороже продукции в покрытии Ре 0,45 в остальных цветах"</f>
        <v>(6) Продукция в покрытии Ре 0,45 в цветах RAL 1018 и 2004 (кроме штакетника и доборных элементов) на 18 рублей дороже продукции в покрытии Ре 0,45 в остальных цветах</v>
      </c>
      <c r="B59" s="1427"/>
      <c r="C59" s="1427"/>
      <c r="D59" s="1427"/>
      <c r="E59" s="1427"/>
      <c r="F59" s="1427"/>
      <c r="G59" s="1427"/>
      <c r="H59" s="1427"/>
      <c r="I59" s="1427"/>
      <c r="J59" s="113"/>
      <c r="K59" s="1406" t="s">
        <v>453</v>
      </c>
      <c r="L59" s="1407"/>
      <c r="M59" s="1407"/>
      <c r="N59" s="1407"/>
      <c r="O59" s="1407"/>
      <c r="P59" s="1407"/>
      <c r="Q59" s="1408"/>
      <c r="R59" s="87">
        <f>399*Belarus</f>
        <v>399</v>
      </c>
      <c r="T59" s="1409" t="s">
        <v>451</v>
      </c>
      <c r="U59" s="1410"/>
      <c r="V59" s="1410"/>
      <c r="W59" s="1410"/>
      <c r="X59" s="1410"/>
      <c r="Y59" s="1411"/>
      <c r="Z59" s="118" t="str">
        <f>"от "&amp;(17.5*Belarus)</f>
        <v>от 17,5</v>
      </c>
      <c r="AA59" s="120"/>
      <c r="AB59" s="1409" t="s">
        <v>452</v>
      </c>
      <c r="AC59" s="1410"/>
      <c r="AD59" s="1410"/>
      <c r="AE59" s="1410"/>
      <c r="AF59" s="1410"/>
      <c r="AG59" s="1411"/>
      <c r="AH59" s="87">
        <f>1.82*Belarus</f>
        <v>1.82</v>
      </c>
    </row>
    <row r="60" spans="1:35" ht="12.75" customHeight="1">
      <c r="A60" s="1427"/>
      <c r="B60" s="1427"/>
      <c r="C60" s="1427"/>
      <c r="D60" s="1427"/>
      <c r="E60" s="1427"/>
      <c r="F60" s="1427"/>
      <c r="G60" s="1427"/>
      <c r="H60" s="1427"/>
      <c r="I60" s="1427"/>
      <c r="J60" s="113"/>
      <c r="K60" s="1406" t="s">
        <v>457</v>
      </c>
      <c r="L60" s="1407"/>
      <c r="M60" s="1407"/>
      <c r="N60" s="1407"/>
      <c r="O60" s="1407"/>
      <c r="P60" s="1407"/>
      <c r="Q60" s="1408"/>
      <c r="R60" s="87">
        <f>230*Belarus</f>
        <v>230</v>
      </c>
      <c r="T60" s="1409" t="s">
        <v>454</v>
      </c>
      <c r="U60" s="1410"/>
      <c r="V60" s="1410"/>
      <c r="W60" s="1410"/>
      <c r="X60" s="1410"/>
      <c r="Y60" s="1411"/>
      <c r="Z60" s="118" t="str">
        <f>"от "&amp;(7.5*Belarus)</f>
        <v>от 7,5</v>
      </c>
      <c r="AA60" s="109"/>
      <c r="AB60" s="1409" t="s">
        <v>455</v>
      </c>
      <c r="AC60" s="1410"/>
      <c r="AD60" s="1410"/>
      <c r="AE60" s="1410"/>
      <c r="AF60" s="1410"/>
      <c r="AG60" s="1411"/>
      <c r="AH60" s="87">
        <f>0.74*Belarus</f>
        <v>0.74</v>
      </c>
    </row>
    <row r="61" spans="1:35" ht="13.5" customHeight="1">
      <c r="A61" s="1351" t="s">
        <v>6292</v>
      </c>
      <c r="B61" s="1296"/>
      <c r="C61" s="1296"/>
      <c r="D61" s="1296"/>
      <c r="E61" s="1296"/>
      <c r="F61" s="1296"/>
      <c r="G61" s="1296"/>
      <c r="H61" s="1296"/>
      <c r="I61" s="1296"/>
      <c r="J61" s="113"/>
      <c r="K61" s="1406" t="s">
        <v>460</v>
      </c>
      <c r="L61" s="1407"/>
      <c r="M61" s="1407"/>
      <c r="N61" s="1407"/>
      <c r="O61" s="1407"/>
      <c r="P61" s="1407"/>
      <c r="Q61" s="1408"/>
      <c r="R61" s="87" t="str">
        <f>"от " &amp;(340*Belarus)</f>
        <v>от 340</v>
      </c>
      <c r="T61" s="1409" t="s">
        <v>458</v>
      </c>
      <c r="U61" s="1410"/>
      <c r="V61" s="1410"/>
      <c r="W61" s="1410"/>
      <c r="X61" s="1410"/>
      <c r="Y61" s="1411"/>
      <c r="Z61" s="118" t="str">
        <f>"от "&amp;(175.5*Belarus)</f>
        <v>от 175,5</v>
      </c>
      <c r="AA61" s="109"/>
      <c r="AB61" s="1409" t="s">
        <v>459</v>
      </c>
      <c r="AC61" s="1410"/>
      <c r="AD61" s="1410"/>
      <c r="AE61" s="1410"/>
      <c r="AF61" s="1410"/>
      <c r="AG61" s="1411"/>
      <c r="AH61" s="87" t="str">
        <f>"от "&amp;(4*Belarus)</f>
        <v>от 4</v>
      </c>
    </row>
    <row r="62" spans="1:35" s="54" customFormat="1" ht="12.75" customHeight="1">
      <c r="A62" s="1418" t="s">
        <v>6294</v>
      </c>
      <c r="B62" s="1419"/>
      <c r="C62" s="1419"/>
      <c r="D62" s="1419"/>
      <c r="E62" s="1419"/>
      <c r="F62" s="1419"/>
      <c r="G62" s="1419"/>
      <c r="H62" s="1419"/>
      <c r="I62" s="1420"/>
      <c r="J62" s="113"/>
      <c r="K62" s="1406" t="s">
        <v>464</v>
      </c>
      <c r="L62" s="1407"/>
      <c r="M62" s="1407"/>
      <c r="N62" s="1407"/>
      <c r="O62" s="1407"/>
      <c r="P62" s="1407"/>
      <c r="Q62" s="1408"/>
      <c r="R62" s="87" t="str">
        <f>"от "&amp;(987*Belarus)</f>
        <v>от 987</v>
      </c>
      <c r="T62" s="1409" t="s">
        <v>461</v>
      </c>
      <c r="U62" s="1410"/>
      <c r="V62" s="1410"/>
      <c r="W62" s="1410"/>
      <c r="X62" s="1410"/>
      <c r="Y62" s="1411"/>
      <c r="Z62" s="118" t="str">
        <f>"от "&amp;(3.5*Belarus)</f>
        <v>от 3,5</v>
      </c>
      <c r="AA62" s="109"/>
      <c r="AB62" s="1409" t="s">
        <v>462</v>
      </c>
      <c r="AC62" s="1410"/>
      <c r="AD62" s="1410"/>
      <c r="AE62" s="1410"/>
      <c r="AF62" s="1410"/>
      <c r="AG62" s="1411"/>
      <c r="AH62" s="87">
        <f>4*Belarus</f>
        <v>4</v>
      </c>
    </row>
    <row r="63" spans="1:35" s="54" customFormat="1" ht="12.75" customHeight="1">
      <c r="A63" s="1421"/>
      <c r="B63" s="1422"/>
      <c r="C63" s="1422"/>
      <c r="D63" s="1422"/>
      <c r="E63" s="1422"/>
      <c r="F63" s="1422"/>
      <c r="G63" s="1422"/>
      <c r="H63" s="1422"/>
      <c r="I63" s="1423"/>
      <c r="J63" s="113"/>
      <c r="K63" s="1406" t="s">
        <v>468</v>
      </c>
      <c r="L63" s="1407"/>
      <c r="M63" s="1407"/>
      <c r="N63" s="1407"/>
      <c r="O63" s="1407"/>
      <c r="P63" s="1407"/>
      <c r="Q63" s="1408"/>
      <c r="R63" s="87" t="str">
        <f>"от "&amp;(236*Belarus)</f>
        <v>от 236</v>
      </c>
      <c r="S63" s="46"/>
      <c r="T63" s="1409" t="s">
        <v>465</v>
      </c>
      <c r="U63" s="1410"/>
      <c r="V63" s="1410"/>
      <c r="W63" s="1410"/>
      <c r="X63" s="1410"/>
      <c r="Y63" s="1411"/>
      <c r="Z63" s="111" t="str">
        <f>"от "&amp;(483*Belarus)</f>
        <v>от 483</v>
      </c>
      <c r="AA63" s="109"/>
      <c r="AB63" s="1409" t="s">
        <v>466</v>
      </c>
      <c r="AC63" s="1410"/>
      <c r="AD63" s="1410"/>
      <c r="AE63" s="1410"/>
      <c r="AF63" s="1410"/>
      <c r="AG63" s="1411"/>
      <c r="AH63" s="87" t="str">
        <f>"от "&amp;(202*Belarus)</f>
        <v>от 202</v>
      </c>
    </row>
    <row r="64" spans="1:35" s="54" customFormat="1" ht="12.75" customHeight="1">
      <c r="A64" s="1424"/>
      <c r="B64" s="1425"/>
      <c r="C64" s="1425"/>
      <c r="D64" s="1425"/>
      <c r="E64" s="1425"/>
      <c r="F64" s="1425"/>
      <c r="G64" s="1425"/>
      <c r="H64" s="1425"/>
      <c r="I64" s="1426"/>
      <c r="J64" s="113"/>
      <c r="K64" s="1406" t="s">
        <v>471</v>
      </c>
      <c r="L64" s="1407"/>
      <c r="M64" s="1407"/>
      <c r="N64" s="1407"/>
      <c r="O64" s="1407"/>
      <c r="P64" s="1407"/>
      <c r="Q64" s="1408"/>
      <c r="R64" s="87" t="str">
        <f>"от "&amp;(2767*Belarus)</f>
        <v>от 2767</v>
      </c>
      <c r="S64" s="46"/>
      <c r="T64" s="1409" t="s">
        <v>469</v>
      </c>
      <c r="U64" s="1410"/>
      <c r="V64" s="1410"/>
      <c r="W64" s="1410"/>
      <c r="X64" s="1410"/>
      <c r="Y64" s="1411"/>
      <c r="Z64" s="111" t="str">
        <f>"от "&amp;(306*Belarus)</f>
        <v>от 306</v>
      </c>
      <c r="AA64" s="109"/>
      <c r="AB64" s="1409" t="s">
        <v>470</v>
      </c>
      <c r="AC64" s="1410"/>
      <c r="AD64" s="1410"/>
      <c r="AE64" s="1410"/>
      <c r="AF64" s="1410"/>
      <c r="AG64" s="1411"/>
      <c r="AH64" s="87" t="str">
        <f>"от "&amp;(202*Belarus)</f>
        <v>от 202</v>
      </c>
    </row>
    <row r="65" spans="1:34" s="54" customFormat="1" ht="29.25" customHeight="1">
      <c r="A65" s="1351" t="s">
        <v>6738</v>
      </c>
      <c r="B65" s="1296"/>
      <c r="C65" s="1296"/>
      <c r="D65" s="1296"/>
      <c r="E65" s="1296"/>
      <c r="F65" s="1296"/>
      <c r="G65" s="1296"/>
      <c r="H65" s="1296"/>
      <c r="I65" s="1296"/>
      <c r="J65" s="113"/>
      <c r="K65" s="115" t="s">
        <v>474</v>
      </c>
      <c r="L65" s="116"/>
      <c r="M65" s="116"/>
      <c r="N65" s="116"/>
      <c r="O65" s="116"/>
      <c r="P65" s="116"/>
      <c r="Q65" s="117"/>
      <c r="R65" s="87" t="str">
        <f>"от "&amp;(600*Belarus)</f>
        <v>от 600</v>
      </c>
      <c r="S65" s="46"/>
      <c r="T65" s="1409" t="s">
        <v>472</v>
      </c>
      <c r="U65" s="1410"/>
      <c r="V65" s="1410"/>
      <c r="W65" s="1410"/>
      <c r="X65" s="1410"/>
      <c r="Y65" s="1411"/>
      <c r="Z65" s="111" t="str">
        <f>"от "&amp;(464*Belarus)</f>
        <v>от 464</v>
      </c>
      <c r="AA65" s="109"/>
      <c r="AB65" s="1409" t="s">
        <v>473</v>
      </c>
      <c r="AC65" s="1410"/>
      <c r="AD65" s="1410"/>
      <c r="AE65" s="1410"/>
      <c r="AF65" s="1410"/>
      <c r="AG65" s="1411"/>
      <c r="AH65" s="87" t="str">
        <f>"от "&amp;(57*Belarus)</f>
        <v>от 57</v>
      </c>
    </row>
    <row r="66" spans="1:34" s="54" customFormat="1">
      <c r="A66" s="1351" t="s">
        <v>6566</v>
      </c>
      <c r="B66" s="1296"/>
      <c r="C66" s="1296"/>
      <c r="D66" s="1296"/>
      <c r="E66" s="1296"/>
      <c r="F66" s="1296"/>
      <c r="G66" s="1296"/>
      <c r="H66" s="1296"/>
      <c r="I66" s="1296"/>
      <c r="J66" s="113"/>
      <c r="K66" s="115" t="s">
        <v>476</v>
      </c>
      <c r="L66" s="116"/>
      <c r="M66" s="116"/>
      <c r="N66" s="116"/>
      <c r="O66" s="116"/>
      <c r="P66" s="116"/>
      <c r="Q66" s="117"/>
      <c r="R66" s="87" t="str">
        <f>"от "&amp;(295*Belarus)</f>
        <v>от 295</v>
      </c>
      <c r="T66" s="1409" t="s">
        <v>475</v>
      </c>
      <c r="U66" s="1410"/>
      <c r="V66" s="1410"/>
      <c r="W66" s="1410"/>
      <c r="X66" s="1410"/>
      <c r="Y66" s="1411"/>
      <c r="Z66" s="111" t="str">
        <f>"от "&amp;(180*Belarus)</f>
        <v>от 180</v>
      </c>
      <c r="AA66" s="109"/>
    </row>
    <row r="67" spans="1:34" s="54" customFormat="1">
      <c r="A67" s="1351" t="s">
        <v>6852</v>
      </c>
      <c r="B67" s="1296"/>
      <c r="C67" s="1296"/>
      <c r="D67" s="1296"/>
      <c r="E67" s="1296"/>
      <c r="F67" s="1296"/>
      <c r="G67" s="1296"/>
      <c r="H67" s="1296"/>
      <c r="I67" s="1296"/>
      <c r="J67" s="113"/>
      <c r="K67" s="115" t="s">
        <v>478</v>
      </c>
      <c r="L67" s="116"/>
      <c r="M67" s="116"/>
      <c r="N67" s="116"/>
      <c r="O67" s="116"/>
      <c r="P67" s="116"/>
      <c r="Q67" s="117"/>
      <c r="R67" s="87">
        <f>4*Belarus</f>
        <v>4</v>
      </c>
      <c r="T67" s="1409" t="s">
        <v>477</v>
      </c>
      <c r="U67" s="1410"/>
      <c r="V67" s="1410"/>
      <c r="W67" s="1410"/>
      <c r="X67" s="1410"/>
      <c r="Y67" s="1411"/>
      <c r="Z67" s="111" t="str">
        <f>"от "&amp;(148*Belarus)</f>
        <v>от 148</v>
      </c>
      <c r="AA67" s="109"/>
    </row>
    <row r="68" spans="1:34" ht="12.75" customHeight="1">
      <c r="A68" s="1412" t="s">
        <v>3713</v>
      </c>
      <c r="B68" s="1413"/>
      <c r="C68" s="1413"/>
      <c r="D68" s="1413"/>
      <c r="E68" s="1413"/>
      <c r="F68" s="1413"/>
      <c r="G68" s="1413"/>
      <c r="H68" s="1413"/>
      <c r="I68" s="1414"/>
      <c r="J68" s="113"/>
      <c r="K68" s="115" t="s">
        <v>480</v>
      </c>
      <c r="L68" s="116"/>
      <c r="M68" s="116"/>
      <c r="N68" s="116"/>
      <c r="O68" s="116"/>
      <c r="P68" s="116"/>
      <c r="Q68" s="117"/>
      <c r="R68" s="87">
        <f>6.8*Belarus</f>
        <v>6.8</v>
      </c>
      <c r="T68" s="1409" t="s">
        <v>479</v>
      </c>
      <c r="U68" s="1410"/>
      <c r="V68" s="1410"/>
      <c r="W68" s="1410"/>
      <c r="X68" s="1410"/>
      <c r="Y68" s="1411"/>
      <c r="Z68" s="111" t="str">
        <f>"от "&amp;(464*Belarus)</f>
        <v>от 464</v>
      </c>
    </row>
    <row r="69" spans="1:34" ht="12.75" customHeight="1">
      <c r="A69" s="1415"/>
      <c r="B69" s="1416"/>
      <c r="C69" s="1416"/>
      <c r="D69" s="1416"/>
      <c r="E69" s="1416"/>
      <c r="F69" s="1416"/>
      <c r="G69" s="1416"/>
      <c r="H69" s="1416"/>
      <c r="I69" s="1417"/>
      <c r="J69" s="113"/>
      <c r="K69" s="115" t="s">
        <v>482</v>
      </c>
      <c r="L69" s="116"/>
      <c r="M69" s="116"/>
      <c r="N69" s="116"/>
      <c r="O69" s="116"/>
      <c r="P69" s="116"/>
      <c r="Q69" s="117"/>
      <c r="R69" s="87">
        <f>160*Belarus</f>
        <v>160</v>
      </c>
      <c r="AA69" s="109"/>
    </row>
    <row r="70" spans="1:34" ht="12.75" customHeight="1">
      <c r="A70" s="1280" t="s">
        <v>3714</v>
      </c>
      <c r="B70" s="1280"/>
      <c r="C70" s="1280"/>
      <c r="D70" s="1280"/>
      <c r="E70" s="1280"/>
      <c r="F70" s="1280"/>
      <c r="G70" s="1280"/>
      <c r="H70" s="1280"/>
      <c r="I70" s="1280"/>
      <c r="J70" s="113"/>
      <c r="K70" s="1405" t="s">
        <v>6530</v>
      </c>
      <c r="L70" s="1405"/>
      <c r="M70" s="1405"/>
      <c r="N70" s="1405"/>
      <c r="O70" s="1405"/>
      <c r="P70" s="1405"/>
      <c r="Q70" s="1405"/>
      <c r="R70" s="1295">
        <f>15*Belarus</f>
        <v>15</v>
      </c>
    </row>
    <row r="71" spans="1:34" ht="12.75" customHeight="1">
      <c r="A71" s="1344" t="s">
        <v>3715</v>
      </c>
      <c r="B71" s="1344"/>
      <c r="C71" s="1344"/>
      <c r="D71" s="1344"/>
      <c r="E71" s="1344"/>
      <c r="F71" s="1344"/>
      <c r="G71" s="1344"/>
      <c r="H71" s="1344"/>
      <c r="I71" s="1344"/>
      <c r="J71" s="113"/>
      <c r="K71" s="1405"/>
      <c r="L71" s="1405"/>
      <c r="M71" s="1405"/>
      <c r="N71" s="1405"/>
      <c r="O71" s="1405"/>
      <c r="P71" s="1405"/>
      <c r="Q71" s="1405"/>
      <c r="R71" s="1295"/>
    </row>
    <row r="72" spans="1:34" ht="12.75" customHeight="1">
      <c r="A72" s="1351" t="s">
        <v>456</v>
      </c>
      <c r="B72" s="1403"/>
      <c r="C72" s="1403"/>
      <c r="D72" s="1403"/>
      <c r="E72" s="1403"/>
      <c r="F72" s="1403"/>
      <c r="G72" s="1403"/>
      <c r="H72" s="1403"/>
      <c r="I72" s="1403"/>
      <c r="J72" s="113"/>
      <c r="K72" s="1327" t="s">
        <v>6531</v>
      </c>
      <c r="L72" s="1328"/>
      <c r="M72" s="1328"/>
      <c r="N72" s="1328"/>
      <c r="O72" s="1328"/>
      <c r="P72" s="1328"/>
      <c r="Q72" s="1329"/>
      <c r="R72" s="87">
        <f>8*Belarus</f>
        <v>8</v>
      </c>
      <c r="AA72" s="120"/>
    </row>
    <row r="73" spans="1:34" ht="12.75" customHeight="1">
      <c r="A73" s="1403"/>
      <c r="B73" s="1403"/>
      <c r="C73" s="1403"/>
      <c r="D73" s="1403"/>
      <c r="E73" s="1403"/>
      <c r="F73" s="1403"/>
      <c r="G73" s="1403"/>
      <c r="H73" s="1403"/>
      <c r="I73" s="1403"/>
      <c r="J73" s="125"/>
      <c r="AA73" s="120"/>
      <c r="AB73" s="1398" t="s">
        <v>481</v>
      </c>
      <c r="AC73" s="1398"/>
      <c r="AD73" s="1398"/>
      <c r="AE73" s="1398"/>
      <c r="AF73" s="1398"/>
      <c r="AG73" s="1398"/>
      <c r="AH73" s="1398"/>
    </row>
    <row r="74" spans="1:34">
      <c r="A74" s="1377" t="s">
        <v>6724</v>
      </c>
      <c r="B74" s="1377"/>
      <c r="C74" s="1377"/>
      <c r="D74" s="1377"/>
      <c r="E74" s="1377"/>
      <c r="F74" s="1377"/>
      <c r="G74" s="1377"/>
      <c r="H74" s="1377"/>
      <c r="I74" s="1377"/>
      <c r="AA74" s="120"/>
      <c r="AB74" s="1398"/>
      <c r="AC74" s="1398"/>
      <c r="AD74" s="1398"/>
      <c r="AE74" s="1398"/>
      <c r="AF74" s="1398"/>
      <c r="AG74" s="1398"/>
      <c r="AH74" s="1398"/>
    </row>
    <row r="75" spans="1:34">
      <c r="A75" s="1377"/>
      <c r="B75" s="1377"/>
      <c r="C75" s="1377"/>
      <c r="D75" s="1377"/>
      <c r="E75" s="1377"/>
      <c r="F75" s="1377"/>
      <c r="G75" s="1377"/>
      <c r="H75" s="1377"/>
      <c r="I75" s="1377"/>
      <c r="AA75" s="120"/>
      <c r="AB75" s="1404" t="s">
        <v>483</v>
      </c>
      <c r="AC75" s="1404"/>
      <c r="AD75" s="1398" t="s">
        <v>484</v>
      </c>
      <c r="AE75" s="1398"/>
      <c r="AF75" s="1398" t="s">
        <v>485</v>
      </c>
      <c r="AG75" s="1398"/>
      <c r="AH75" s="1398"/>
    </row>
    <row r="76" spans="1:34">
      <c r="A76" s="1389" t="s">
        <v>6727</v>
      </c>
      <c r="B76" s="1390"/>
      <c r="C76" s="1390"/>
      <c r="D76" s="1390"/>
      <c r="E76" s="1390"/>
      <c r="F76" s="1390"/>
      <c r="G76" s="1390"/>
      <c r="H76" s="1390"/>
      <c r="I76" s="1391"/>
      <c r="T76" s="1398" t="s">
        <v>486</v>
      </c>
      <c r="U76" s="1398"/>
      <c r="V76" s="1398"/>
      <c r="W76" s="1398"/>
      <c r="X76" s="1398"/>
      <c r="Y76" s="1398"/>
      <c r="Z76" s="1398"/>
      <c r="AA76" s="120"/>
      <c r="AB76" s="1384" t="s">
        <v>487</v>
      </c>
      <c r="AC76" s="1385"/>
      <c r="AD76" s="1331">
        <v>0.7</v>
      </c>
      <c r="AE76" s="1331"/>
      <c r="AF76" s="1399" t="s">
        <v>488</v>
      </c>
      <c r="AG76" s="1360"/>
      <c r="AH76" s="1361"/>
    </row>
    <row r="77" spans="1:34" ht="12.75" customHeight="1">
      <c r="A77" s="1392"/>
      <c r="B77" s="1393"/>
      <c r="C77" s="1393"/>
      <c r="D77" s="1393"/>
      <c r="E77" s="1393"/>
      <c r="F77" s="1393"/>
      <c r="G77" s="1393"/>
      <c r="H77" s="1393"/>
      <c r="I77" s="1394"/>
      <c r="T77" s="1280" t="s">
        <v>489</v>
      </c>
      <c r="U77" s="1280"/>
      <c r="V77" s="1280"/>
      <c r="W77" s="1280"/>
      <c r="X77" s="1280"/>
      <c r="Y77" s="1280"/>
      <c r="Z77" s="129">
        <v>0.1</v>
      </c>
      <c r="AA77" s="120"/>
      <c r="AB77" s="1384" t="s">
        <v>490</v>
      </c>
      <c r="AC77" s="1385"/>
      <c r="AD77" s="1331">
        <v>0.3</v>
      </c>
      <c r="AE77" s="1331"/>
      <c r="AF77" s="1400"/>
      <c r="AG77" s="1401"/>
      <c r="AH77" s="1402"/>
    </row>
    <row r="78" spans="1:34">
      <c r="A78" s="1392"/>
      <c r="B78" s="1393"/>
      <c r="C78" s="1393"/>
      <c r="D78" s="1393"/>
      <c r="E78" s="1393"/>
      <c r="F78" s="1393"/>
      <c r="G78" s="1393"/>
      <c r="H78" s="1393"/>
      <c r="I78" s="1394"/>
      <c r="K78" s="127"/>
      <c r="L78" s="127"/>
      <c r="M78" s="127"/>
      <c r="N78" s="127"/>
      <c r="O78" s="127"/>
      <c r="P78" s="127"/>
      <c r="Q78" s="127"/>
      <c r="R78" s="128"/>
      <c r="AA78" s="120"/>
      <c r="AB78" s="1384" t="s">
        <v>491</v>
      </c>
      <c r="AC78" s="1385"/>
      <c r="AD78" s="1331">
        <v>0.15</v>
      </c>
      <c r="AE78" s="1331"/>
      <c r="AF78" s="1362"/>
      <c r="AG78" s="1363"/>
      <c r="AH78" s="1364"/>
    </row>
    <row r="79" spans="1:34" ht="12.75" customHeight="1">
      <c r="A79" s="1395"/>
      <c r="B79" s="1396"/>
      <c r="C79" s="1396"/>
      <c r="D79" s="1396"/>
      <c r="E79" s="1396"/>
      <c r="F79" s="1396"/>
      <c r="G79" s="1396"/>
      <c r="H79" s="1396"/>
      <c r="I79" s="1397"/>
      <c r="K79" s="1378" t="s">
        <v>493</v>
      </c>
      <c r="L79" s="1379"/>
      <c r="M79" s="1379"/>
      <c r="N79" s="1379"/>
      <c r="O79" s="1379"/>
      <c r="P79" s="1379"/>
      <c r="Q79" s="1379"/>
      <c r="R79" s="1380"/>
      <c r="T79" s="1381" t="s">
        <v>494</v>
      </c>
      <c r="U79" s="1382"/>
      <c r="V79" s="1382"/>
      <c r="W79" s="1382"/>
      <c r="X79" s="1382"/>
      <c r="Y79" s="1382"/>
      <c r="Z79" s="1383"/>
      <c r="AA79" s="120"/>
      <c r="AB79" s="1384" t="s">
        <v>495</v>
      </c>
      <c r="AC79" s="1385"/>
      <c r="AD79" s="1331" t="s">
        <v>496</v>
      </c>
      <c r="AE79" s="1331"/>
      <c r="AF79" s="1348" t="s">
        <v>497</v>
      </c>
      <c r="AG79" s="1349"/>
      <c r="AH79" s="1350"/>
    </row>
    <row r="80" spans="1:34">
      <c r="A80" s="1351" t="s">
        <v>6667</v>
      </c>
      <c r="B80" s="1351"/>
      <c r="C80" s="1351"/>
      <c r="D80" s="1351"/>
      <c r="E80" s="1351"/>
      <c r="F80" s="1351"/>
      <c r="G80" s="1351"/>
      <c r="H80" s="1351"/>
      <c r="I80" s="1351"/>
      <c r="K80" s="1352" t="s">
        <v>483</v>
      </c>
      <c r="L80" s="1352"/>
      <c r="M80" s="1352"/>
      <c r="N80" s="1353" t="s">
        <v>484</v>
      </c>
      <c r="O80" s="1355"/>
      <c r="P80" s="1353" t="s">
        <v>485</v>
      </c>
      <c r="Q80" s="1354"/>
      <c r="R80" s="1355"/>
      <c r="T80" s="1356" t="s">
        <v>498</v>
      </c>
      <c r="U80" s="1357"/>
      <c r="V80" s="1357"/>
      <c r="W80" s="1357"/>
      <c r="X80" s="1357"/>
      <c r="Y80" s="1358"/>
      <c r="Z80" s="132" t="str">
        <f>(1000*Belarus)&amp;" руб."</f>
        <v>1000 руб.</v>
      </c>
      <c r="AB80" s="1359" t="s">
        <v>709</v>
      </c>
      <c r="AC80" s="1360"/>
      <c r="AD80" s="1360"/>
      <c r="AE80" s="1360"/>
      <c r="AF80" s="1360"/>
      <c r="AG80" s="1360"/>
      <c r="AH80" s="1361"/>
    </row>
    <row r="81" spans="1:34">
      <c r="A81" s="1351"/>
      <c r="B81" s="1351"/>
      <c r="C81" s="1351"/>
      <c r="D81" s="1351"/>
      <c r="E81" s="1351"/>
      <c r="F81" s="1351"/>
      <c r="G81" s="1351"/>
      <c r="H81" s="1351"/>
      <c r="I81" s="1351"/>
      <c r="K81" s="1365" t="s">
        <v>500</v>
      </c>
      <c r="L81" s="1366"/>
      <c r="M81" s="1367"/>
      <c r="N81" s="1386" t="str">
        <f>(1500*Belarus)&amp;" руб."</f>
        <v>1500 руб.</v>
      </c>
      <c r="O81" s="1386"/>
      <c r="P81" s="1368" t="s">
        <v>488</v>
      </c>
      <c r="Q81" s="1369"/>
      <c r="R81" s="1370"/>
      <c r="T81" s="1356" t="s">
        <v>501</v>
      </c>
      <c r="U81" s="1357"/>
      <c r="V81" s="1357"/>
      <c r="W81" s="1357"/>
      <c r="X81" s="1357"/>
      <c r="Y81" s="1358"/>
      <c r="Z81" s="43" t="str">
        <f>(200*Belarus)&amp;" руб."</f>
        <v>200 руб.</v>
      </c>
      <c r="AB81" s="1362"/>
      <c r="AC81" s="1363"/>
      <c r="AD81" s="1363"/>
      <c r="AE81" s="1363"/>
      <c r="AF81" s="1363"/>
      <c r="AG81" s="1363"/>
      <c r="AH81" s="1364"/>
    </row>
    <row r="82" spans="1:34">
      <c r="A82" s="1351"/>
      <c r="B82" s="1351"/>
      <c r="C82" s="1351"/>
      <c r="D82" s="1351"/>
      <c r="E82" s="1351"/>
      <c r="F82" s="1351"/>
      <c r="G82" s="1351"/>
      <c r="H82" s="1351"/>
      <c r="I82" s="1351"/>
      <c r="K82" s="1296" t="s">
        <v>503</v>
      </c>
      <c r="L82" s="1296"/>
      <c r="M82" s="1296"/>
      <c r="N82" s="1387">
        <v>1</v>
      </c>
      <c r="O82" s="1387"/>
      <c r="P82" s="1371"/>
      <c r="Q82" s="1372"/>
      <c r="R82" s="1373"/>
      <c r="AA82" s="130"/>
    </row>
    <row r="83" spans="1:34" ht="12.75" customHeight="1">
      <c r="A83" s="1377" t="s">
        <v>429</v>
      </c>
      <c r="B83" s="1377"/>
      <c r="C83" s="1377"/>
      <c r="D83" s="1377"/>
      <c r="E83" s="1377"/>
      <c r="F83" s="1377"/>
      <c r="G83" s="1377"/>
      <c r="H83" s="1377"/>
      <c r="I83" s="1377"/>
      <c r="K83" s="1296" t="s">
        <v>505</v>
      </c>
      <c r="L83" s="1296"/>
      <c r="M83" s="1296"/>
      <c r="N83" s="1387">
        <v>0.2</v>
      </c>
      <c r="O83" s="1387"/>
      <c r="P83" s="1371"/>
      <c r="Q83" s="1372"/>
      <c r="R83" s="1373"/>
      <c r="T83" s="1388" t="s">
        <v>502</v>
      </c>
      <c r="U83" s="1388"/>
      <c r="V83" s="1388"/>
      <c r="W83" s="1388"/>
      <c r="X83" s="1388"/>
      <c r="Y83" s="1388"/>
      <c r="Z83" s="1388"/>
      <c r="AA83" s="1388"/>
      <c r="AB83" s="1388"/>
      <c r="AC83" s="1388"/>
      <c r="AD83" s="1388"/>
      <c r="AE83" s="1388"/>
      <c r="AF83" s="1388"/>
      <c r="AG83" s="1388"/>
      <c r="AH83" s="1388"/>
    </row>
    <row r="84" spans="1:34" ht="12.75" customHeight="1">
      <c r="A84" s="1377"/>
      <c r="B84" s="1377"/>
      <c r="C84" s="1377"/>
      <c r="D84" s="1377"/>
      <c r="E84" s="1377"/>
      <c r="F84" s="1377"/>
      <c r="G84" s="1377"/>
      <c r="H84" s="1377"/>
      <c r="I84" s="1377"/>
      <c r="K84" s="1296" t="s">
        <v>506</v>
      </c>
      <c r="L84" s="1296"/>
      <c r="M84" s="1296"/>
      <c r="N84" s="1387">
        <v>0.1</v>
      </c>
      <c r="O84" s="1387"/>
      <c r="P84" s="1374"/>
      <c r="Q84" s="1375"/>
      <c r="R84" s="1376"/>
      <c r="T84" s="1332" t="s">
        <v>504</v>
      </c>
      <c r="U84" s="1332"/>
      <c r="V84" s="1332"/>
      <c r="W84" s="1332"/>
      <c r="X84" s="1332"/>
      <c r="Y84" s="1332"/>
      <c r="Z84" s="1332"/>
      <c r="AA84" s="1332"/>
      <c r="AB84" s="1332"/>
      <c r="AC84" s="1332"/>
      <c r="AD84" s="1332"/>
      <c r="AE84" s="1332"/>
      <c r="AF84" s="1332"/>
      <c r="AG84" s="1332"/>
      <c r="AH84" s="1332"/>
    </row>
    <row r="85" spans="1:34" ht="13.5" customHeight="1">
      <c r="A85" s="1344" t="s">
        <v>425</v>
      </c>
      <c r="B85" s="1344"/>
      <c r="C85" s="1344"/>
      <c r="D85" s="1344"/>
      <c r="E85" s="1344"/>
      <c r="F85" s="1344"/>
      <c r="G85" s="1344"/>
      <c r="H85" s="1344"/>
      <c r="I85" s="1344"/>
      <c r="K85" s="1296" t="s">
        <v>507</v>
      </c>
      <c r="L85" s="1296"/>
      <c r="M85" s="1296"/>
      <c r="N85" s="1387" t="s">
        <v>496</v>
      </c>
      <c r="O85" s="1387"/>
      <c r="P85" s="1345" t="s">
        <v>497</v>
      </c>
      <c r="Q85" s="1346"/>
      <c r="R85" s="1347"/>
      <c r="T85" s="1332" t="str">
        <f>"ПН С21 Дачный склад и Плоский лист Дачный склад - под заказ, подробности у менеджера по продажам. 
Минимальный заказ 10 листов. При отгрузке не кратно пачке действует наценка  "&amp;(5*Belarus)&amp;" руб./м2 к цене клиента."</f>
        <v>ПН С21 Дачный склад и Плоский лист Дачный склад - под заказ, подробности у менеджера по продажам. 
Минимальный заказ 10 листов. При отгрузке не кратно пачке действует наценка  5 руб./м2 к цене клиента.</v>
      </c>
      <c r="U85" s="1332"/>
      <c r="V85" s="1332"/>
      <c r="W85" s="1332"/>
      <c r="X85" s="1332"/>
      <c r="Y85" s="1332"/>
      <c r="Z85" s="1332"/>
      <c r="AA85" s="1332"/>
      <c r="AB85" s="1332"/>
      <c r="AC85" s="1332"/>
      <c r="AD85" s="1332"/>
      <c r="AE85" s="1332"/>
      <c r="AF85" s="1332"/>
      <c r="AG85" s="1332"/>
      <c r="AH85" s="1332"/>
    </row>
    <row r="86" spans="1:34" ht="12.75" customHeight="1">
      <c r="A86" s="1332" t="s">
        <v>492</v>
      </c>
      <c r="B86" s="1332"/>
      <c r="C86" s="1332"/>
      <c r="D86" s="1332"/>
      <c r="E86" s="1332"/>
      <c r="F86" s="1332"/>
      <c r="G86" s="1332"/>
      <c r="H86" s="1332"/>
      <c r="I86" s="1332"/>
      <c r="T86" s="1332"/>
      <c r="U86" s="1332"/>
      <c r="V86" s="1332"/>
      <c r="W86" s="1332"/>
      <c r="X86" s="1332"/>
      <c r="Y86" s="1332"/>
      <c r="Z86" s="1332"/>
      <c r="AA86" s="1332"/>
      <c r="AB86" s="1332"/>
      <c r="AC86" s="1332"/>
      <c r="AD86" s="1332"/>
      <c r="AE86" s="1332"/>
      <c r="AF86" s="1332"/>
      <c r="AG86" s="1332"/>
      <c r="AH86" s="1332"/>
    </row>
    <row r="87" spans="1:34" ht="12.75" customHeight="1">
      <c r="A87" s="1332"/>
      <c r="B87" s="1332"/>
      <c r="C87" s="1332"/>
      <c r="D87" s="1332"/>
      <c r="E87" s="1332"/>
      <c r="F87" s="1332"/>
      <c r="G87" s="1332"/>
      <c r="H87" s="1332"/>
      <c r="I87" s="1332"/>
    </row>
    <row r="92" spans="1:34" ht="12.75" customHeight="1">
      <c r="A92" s="1333" t="s">
        <v>508</v>
      </c>
      <c r="B92" s="1334"/>
      <c r="C92" s="1335"/>
      <c r="D92" s="1339" t="s">
        <v>320</v>
      </c>
      <c r="E92" s="1339"/>
      <c r="F92" s="1339"/>
      <c r="G92" s="1339" t="s">
        <v>3582</v>
      </c>
      <c r="H92" s="1307" t="s">
        <v>321</v>
      </c>
      <c r="I92" s="1308"/>
      <c r="J92" s="1308"/>
      <c r="K92" s="1309"/>
      <c r="L92" s="1339" t="s">
        <v>510</v>
      </c>
      <c r="M92" s="1340" t="s">
        <v>323</v>
      </c>
      <c r="N92" s="1340" t="s">
        <v>511</v>
      </c>
      <c r="O92" s="1340" t="s">
        <v>5344</v>
      </c>
      <c r="P92" s="1340" t="s">
        <v>512</v>
      </c>
      <c r="Q92" s="1340" t="s">
        <v>334</v>
      </c>
      <c r="R92" s="1340" t="s">
        <v>335</v>
      </c>
      <c r="S92" s="1324" t="s">
        <v>325</v>
      </c>
      <c r="T92" s="1325"/>
      <c r="U92" s="1325"/>
      <c r="V92" s="1325"/>
      <c r="W92" s="1325"/>
      <c r="X92" s="1326"/>
      <c r="Y92" s="1342" t="s">
        <v>101</v>
      </c>
      <c r="Z92" s="1343"/>
      <c r="AA92" s="1310" t="s">
        <v>326</v>
      </c>
      <c r="AB92" s="1311"/>
      <c r="AC92" s="1311"/>
      <c r="AD92" s="1311"/>
      <c r="AE92" s="1311"/>
      <c r="AF92" s="1311"/>
      <c r="AG92" s="1311"/>
      <c r="AH92" s="1311"/>
    </row>
    <row r="93" spans="1:34" ht="53.25" customHeight="1">
      <c r="A93" s="1336"/>
      <c r="B93" s="1337"/>
      <c r="C93" s="1338"/>
      <c r="D93" s="1339"/>
      <c r="E93" s="1339"/>
      <c r="F93" s="1339"/>
      <c r="G93" s="1339"/>
      <c r="H93" s="1310"/>
      <c r="I93" s="1311"/>
      <c r="J93" s="1311"/>
      <c r="K93" s="1312"/>
      <c r="L93" s="1339"/>
      <c r="M93" s="1341"/>
      <c r="N93" s="1341"/>
      <c r="O93" s="1341"/>
      <c r="P93" s="1341"/>
      <c r="Q93" s="1341"/>
      <c r="R93" s="1341"/>
      <c r="S93" s="144" t="s">
        <v>336</v>
      </c>
      <c r="T93" s="145" t="s">
        <v>513</v>
      </c>
      <c r="U93" s="145" t="s">
        <v>514</v>
      </c>
      <c r="V93" s="145" t="s">
        <v>515</v>
      </c>
      <c r="W93" s="992" t="s">
        <v>516</v>
      </c>
      <c r="X93" s="145" t="s">
        <v>517</v>
      </c>
      <c r="Y93" s="141" t="s">
        <v>337</v>
      </c>
      <c r="Z93" s="141" t="s">
        <v>338</v>
      </c>
      <c r="AA93" s="142">
        <v>0.35</v>
      </c>
      <c r="AB93" s="142">
        <v>0.4</v>
      </c>
      <c r="AC93" s="142">
        <v>0.45</v>
      </c>
      <c r="AD93" s="142">
        <v>0.5</v>
      </c>
      <c r="AE93" s="142">
        <v>0.55000000000000004</v>
      </c>
      <c r="AF93" s="142">
        <v>0.7</v>
      </c>
      <c r="AG93" s="142">
        <v>0.8</v>
      </c>
      <c r="AH93" s="142">
        <v>0.9</v>
      </c>
    </row>
    <row r="94" spans="1:34" ht="12.75" customHeight="1">
      <c r="A94" s="1330" t="s">
        <v>247</v>
      </c>
      <c r="B94" s="1330"/>
      <c r="C94" s="1330"/>
      <c r="D94" s="1331">
        <v>0</v>
      </c>
      <c r="E94" s="1331"/>
      <c r="F94" s="1331"/>
      <c r="G94" s="1331">
        <v>0</v>
      </c>
      <c r="H94" s="1313">
        <v>0</v>
      </c>
      <c r="I94" s="1314"/>
      <c r="J94" s="1314"/>
      <c r="K94" s="1315"/>
      <c r="L94" s="1331">
        <v>0</v>
      </c>
      <c r="M94" s="1322">
        <v>0</v>
      </c>
      <c r="N94" s="1322">
        <v>0</v>
      </c>
      <c r="O94" s="1322">
        <v>0</v>
      </c>
      <c r="P94" s="1331">
        <v>0</v>
      </c>
      <c r="Q94" s="129">
        <v>0</v>
      </c>
      <c r="R94" s="129">
        <v>0</v>
      </c>
      <c r="S94" s="148" t="s">
        <v>369</v>
      </c>
      <c r="T94" s="148" t="s">
        <v>369</v>
      </c>
      <c r="U94" s="129">
        <v>0</v>
      </c>
      <c r="V94" s="129">
        <v>0</v>
      </c>
      <c r="W94" s="148">
        <v>0</v>
      </c>
      <c r="X94" s="129">
        <v>0</v>
      </c>
      <c r="Y94" s="129">
        <v>0</v>
      </c>
      <c r="Z94" s="129" t="s">
        <v>369</v>
      </c>
      <c r="AA94" s="43" t="s">
        <v>369</v>
      </c>
      <c r="AB94" s="129">
        <v>0</v>
      </c>
      <c r="AC94" s="129">
        <v>0</v>
      </c>
      <c r="AD94" s="43" t="s">
        <v>369</v>
      </c>
      <c r="AE94" s="129">
        <v>0</v>
      </c>
      <c r="AF94" s="129">
        <v>0</v>
      </c>
      <c r="AG94" s="129">
        <v>0</v>
      </c>
      <c r="AH94" s="129">
        <v>0</v>
      </c>
    </row>
    <row r="95" spans="1:34" ht="12.75" customHeight="1">
      <c r="A95" s="1330" t="s">
        <v>518</v>
      </c>
      <c r="B95" s="1330"/>
      <c r="C95" s="1330"/>
      <c r="D95" s="1331"/>
      <c r="E95" s="1331"/>
      <c r="F95" s="1331"/>
      <c r="G95" s="1331"/>
      <c r="H95" s="1316"/>
      <c r="I95" s="1317"/>
      <c r="J95" s="1317"/>
      <c r="K95" s="1318"/>
      <c r="L95" s="1331"/>
      <c r="M95" s="1323"/>
      <c r="N95" s="1323"/>
      <c r="O95" s="1323"/>
      <c r="P95" s="1331"/>
      <c r="Q95" s="129">
        <v>0</v>
      </c>
      <c r="R95" s="129">
        <v>0</v>
      </c>
      <c r="S95" s="148" t="s">
        <v>369</v>
      </c>
      <c r="T95" s="148" t="s">
        <v>369</v>
      </c>
      <c r="U95" s="129">
        <v>0</v>
      </c>
      <c r="V95" s="129">
        <v>0</v>
      </c>
      <c r="W95" s="148">
        <v>0</v>
      </c>
      <c r="X95" s="129" t="s">
        <v>369</v>
      </c>
      <c r="Y95" s="129" t="s">
        <v>369</v>
      </c>
      <c r="Z95" s="129" t="s">
        <v>369</v>
      </c>
      <c r="AA95" s="43" t="s">
        <v>369</v>
      </c>
      <c r="AB95" s="129" t="s">
        <v>369</v>
      </c>
      <c r="AC95" s="129">
        <v>0</v>
      </c>
      <c r="AD95" s="129">
        <v>0</v>
      </c>
      <c r="AE95" s="129">
        <v>0</v>
      </c>
      <c r="AF95" s="129">
        <v>0</v>
      </c>
      <c r="AG95" s="129" t="s">
        <v>369</v>
      </c>
      <c r="AH95" s="129" t="s">
        <v>369</v>
      </c>
    </row>
    <row r="96" spans="1:34" ht="12.75" customHeight="1">
      <c r="A96" s="1330" t="s">
        <v>519</v>
      </c>
      <c r="B96" s="1330"/>
      <c r="C96" s="1330"/>
      <c r="D96" s="1331"/>
      <c r="E96" s="1331"/>
      <c r="F96" s="1331"/>
      <c r="G96" s="1331"/>
      <c r="H96" s="1316"/>
      <c r="I96" s="1317"/>
      <c r="J96" s="1317"/>
      <c r="K96" s="1318"/>
      <c r="L96" s="1331"/>
      <c r="M96" s="1323"/>
      <c r="N96" s="1323"/>
      <c r="O96" s="1323"/>
      <c r="P96" s="1331"/>
      <c r="Q96" s="129">
        <v>0</v>
      </c>
      <c r="R96" s="129">
        <v>0</v>
      </c>
      <c r="S96" s="148">
        <v>0</v>
      </c>
      <c r="T96" s="148">
        <v>0</v>
      </c>
      <c r="U96" s="129">
        <v>0</v>
      </c>
      <c r="V96" s="129">
        <v>0</v>
      </c>
      <c r="W96" s="148">
        <v>0</v>
      </c>
      <c r="X96" s="129">
        <v>0</v>
      </c>
      <c r="Y96" s="129">
        <v>0</v>
      </c>
      <c r="Z96" s="129">
        <v>0</v>
      </c>
      <c r="AA96" s="129">
        <v>0</v>
      </c>
      <c r="AB96" s="129">
        <v>0</v>
      </c>
      <c r="AC96" s="129">
        <v>0</v>
      </c>
      <c r="AD96" s="129">
        <v>0</v>
      </c>
      <c r="AE96" s="129">
        <v>0</v>
      </c>
      <c r="AF96" s="129">
        <v>0</v>
      </c>
      <c r="AG96" s="129">
        <v>0</v>
      </c>
      <c r="AH96" s="129">
        <v>0</v>
      </c>
    </row>
    <row r="97" spans="1:34" ht="12.75" customHeight="1">
      <c r="A97" s="1330" t="s">
        <v>520</v>
      </c>
      <c r="B97" s="1330"/>
      <c r="C97" s="1330"/>
      <c r="D97" s="1331"/>
      <c r="E97" s="1331"/>
      <c r="F97" s="1331"/>
      <c r="G97" s="1331"/>
      <c r="H97" s="1316"/>
      <c r="I97" s="1317"/>
      <c r="J97" s="1317"/>
      <c r="K97" s="1318"/>
      <c r="L97" s="1331"/>
      <c r="M97" s="1323"/>
      <c r="N97" s="1323"/>
      <c r="O97" s="1323"/>
      <c r="P97" s="1331"/>
      <c r="Q97" s="129">
        <v>0</v>
      </c>
      <c r="R97" s="129">
        <v>0</v>
      </c>
      <c r="S97" s="147">
        <v>0</v>
      </c>
      <c r="T97" s="147">
        <v>0</v>
      </c>
      <c r="U97" s="147">
        <v>0</v>
      </c>
      <c r="V97" s="147">
        <v>0</v>
      </c>
      <c r="W97" s="148">
        <v>0</v>
      </c>
      <c r="X97" s="147">
        <v>0</v>
      </c>
      <c r="Y97" s="147">
        <v>0</v>
      </c>
      <c r="Z97" s="147">
        <v>0</v>
      </c>
      <c r="AA97" s="129">
        <v>0</v>
      </c>
      <c r="AB97" s="129">
        <v>0</v>
      </c>
      <c r="AC97" s="129">
        <v>0</v>
      </c>
      <c r="AD97" s="129">
        <v>0</v>
      </c>
      <c r="AE97" s="129">
        <v>0</v>
      </c>
      <c r="AF97" s="129">
        <v>0</v>
      </c>
      <c r="AG97" s="129">
        <v>0</v>
      </c>
      <c r="AH97" s="129">
        <v>0</v>
      </c>
    </row>
    <row r="98" spans="1:34" ht="12.75" customHeight="1">
      <c r="A98" s="1330" t="s">
        <v>521</v>
      </c>
      <c r="B98" s="1330"/>
      <c r="C98" s="1330"/>
      <c r="D98" s="1331"/>
      <c r="E98" s="1331"/>
      <c r="F98" s="1331"/>
      <c r="G98" s="1331"/>
      <c r="H98" s="1319"/>
      <c r="I98" s="1320"/>
      <c r="J98" s="1320"/>
      <c r="K98" s="1321"/>
      <c r="L98" s="1322"/>
      <c r="M98" s="1323"/>
      <c r="N98" s="1323"/>
      <c r="O98" s="1323"/>
      <c r="P98" s="1322"/>
      <c r="Q98" s="147">
        <v>0</v>
      </c>
      <c r="R98" s="147">
        <v>0</v>
      </c>
      <c r="S98" s="149" t="s">
        <v>369</v>
      </c>
      <c r="T98" s="147" t="s">
        <v>369</v>
      </c>
      <c r="U98" s="147" t="s">
        <v>369</v>
      </c>
      <c r="V98" s="147" t="s">
        <v>369</v>
      </c>
      <c r="W98" s="148">
        <v>0</v>
      </c>
      <c r="X98" s="147" t="s">
        <v>369</v>
      </c>
      <c r="Y98" s="147" t="s">
        <v>369</v>
      </c>
      <c r="Z98" s="147" t="s">
        <v>369</v>
      </c>
      <c r="AA98" s="129" t="s">
        <v>369</v>
      </c>
      <c r="AB98" s="129" t="s">
        <v>369</v>
      </c>
      <c r="AC98" s="129" t="s">
        <v>369</v>
      </c>
      <c r="AD98" s="129" t="s">
        <v>369</v>
      </c>
      <c r="AE98" s="129" t="s">
        <v>369</v>
      </c>
      <c r="AF98" s="129" t="s">
        <v>369</v>
      </c>
      <c r="AG98" s="129" t="s">
        <v>369</v>
      </c>
      <c r="AH98" s="129" t="s">
        <v>369</v>
      </c>
    </row>
    <row r="99" spans="1:34">
      <c r="A99" s="1330" t="s">
        <v>522</v>
      </c>
      <c r="B99" s="1330"/>
      <c r="C99" s="1330"/>
      <c r="D99" s="148">
        <v>0</v>
      </c>
      <c r="E99" s="1154"/>
      <c r="F99" s="1154"/>
      <c r="G99" s="1154"/>
      <c r="H99" s="1154"/>
      <c r="I99" s="1154"/>
      <c r="J99" s="1154"/>
      <c r="K99" s="1154"/>
      <c r="L99" s="1154"/>
      <c r="M99" s="1154"/>
      <c r="N99" s="1154"/>
      <c r="O99" s="1154"/>
      <c r="P99" s="1154"/>
      <c r="Q99" s="1154"/>
      <c r="R99" s="1154"/>
      <c r="S99" s="1154"/>
      <c r="T99" s="1154"/>
      <c r="U99" s="1154"/>
      <c r="V99" s="1154"/>
      <c r="W99" s="1154"/>
      <c r="X99" s="1154"/>
      <c r="Y99" s="1155"/>
      <c r="Z99" s="129" t="s">
        <v>369</v>
      </c>
      <c r="AA99" s="129" t="s">
        <v>369</v>
      </c>
      <c r="AB99" s="129" t="s">
        <v>369</v>
      </c>
      <c r="AC99" s="129" t="s">
        <v>369</v>
      </c>
      <c r="AD99" s="129" t="s">
        <v>369</v>
      </c>
      <c r="AE99" s="129" t="s">
        <v>369</v>
      </c>
      <c r="AF99" s="129" t="s">
        <v>369</v>
      </c>
      <c r="AG99" s="129" t="s">
        <v>369</v>
      </c>
      <c r="AH99" s="129" t="s">
        <v>369</v>
      </c>
    </row>
    <row r="100" spans="1:34">
      <c r="A100" s="1330" t="s">
        <v>523</v>
      </c>
      <c r="B100" s="1330"/>
      <c r="C100" s="1330"/>
      <c r="D100" s="148">
        <v>0</v>
      </c>
      <c r="E100" s="1154"/>
      <c r="F100" s="1154"/>
      <c r="G100" s="1154"/>
      <c r="H100" s="1154"/>
      <c r="I100" s="1154"/>
      <c r="J100" s="1154"/>
      <c r="K100" s="1154"/>
      <c r="L100" s="1154"/>
      <c r="M100" s="1154"/>
      <c r="N100" s="1154"/>
      <c r="O100" s="1154"/>
      <c r="P100" s="1154"/>
      <c r="Q100" s="1154"/>
      <c r="R100" s="1154"/>
      <c r="S100" s="1154"/>
      <c r="T100" s="1154"/>
      <c r="U100" s="1154"/>
      <c r="V100" s="1154"/>
      <c r="W100" s="1154"/>
      <c r="X100" s="1154"/>
      <c r="Y100" s="1155"/>
      <c r="Z100" s="129" t="s">
        <v>369</v>
      </c>
      <c r="AA100" s="129" t="s">
        <v>369</v>
      </c>
      <c r="AB100" s="129" t="s">
        <v>369</v>
      </c>
      <c r="AC100" s="129" t="s">
        <v>369</v>
      </c>
      <c r="AD100" s="129" t="s">
        <v>369</v>
      </c>
      <c r="AE100" s="129" t="s">
        <v>369</v>
      </c>
      <c r="AF100" s="129" t="s">
        <v>369</v>
      </c>
      <c r="AG100" s="129" t="s">
        <v>369</v>
      </c>
      <c r="AH100" s="129" t="s">
        <v>369</v>
      </c>
    </row>
  </sheetData>
  <sheetProtection selectLockedCells="1" selectUnlockedCells="1"/>
  <mergeCells count="194">
    <mergeCell ref="M5:M6"/>
    <mergeCell ref="O9:O10"/>
    <mergeCell ref="A67:I67"/>
    <mergeCell ref="AB61:AG61"/>
    <mergeCell ref="A1:D1"/>
    <mergeCell ref="A2:AA2"/>
    <mergeCell ref="AG2:AH2"/>
    <mergeCell ref="AG3:AH3"/>
    <mergeCell ref="A4:A6"/>
    <mergeCell ref="B4:B10"/>
    <mergeCell ref="L5:L6"/>
    <mergeCell ref="Q9:Q10"/>
    <mergeCell ref="G7:G10"/>
    <mergeCell ref="T65:Y65"/>
    <mergeCell ref="K61:Q61"/>
    <mergeCell ref="K60:Q60"/>
    <mergeCell ref="N5:N6"/>
    <mergeCell ref="P5:R5"/>
    <mergeCell ref="S5:X5"/>
    <mergeCell ref="Y5:Z5"/>
    <mergeCell ref="O5:O6"/>
    <mergeCell ref="AA5:AH5"/>
    <mergeCell ref="T6:X6"/>
    <mergeCell ref="AA6:AH6"/>
    <mergeCell ref="T7:X7"/>
    <mergeCell ref="Y7:Y8"/>
    <mergeCell ref="Z7:Z8"/>
    <mergeCell ref="AA7:AE7"/>
    <mergeCell ref="AF7:AH7"/>
    <mergeCell ref="S9:S10"/>
    <mergeCell ref="A9:A10"/>
    <mergeCell ref="D9:D10"/>
    <mergeCell ref="E9:E10"/>
    <mergeCell ref="F9:F10"/>
    <mergeCell ref="H9:H10"/>
    <mergeCell ref="I9:I10"/>
    <mergeCell ref="C4:C10"/>
    <mergeCell ref="D5:F5"/>
    <mergeCell ref="P9:P10"/>
    <mergeCell ref="G5:G6"/>
    <mergeCell ref="H5:K5"/>
    <mergeCell ref="T9:T10"/>
    <mergeCell ref="U9:U10"/>
    <mergeCell ref="J9:J10"/>
    <mergeCell ref="K9:K10"/>
    <mergeCell ref="L9:L10"/>
    <mergeCell ref="M9:M10"/>
    <mergeCell ref="N9:N10"/>
    <mergeCell ref="R9:R10"/>
    <mergeCell ref="W9:W10"/>
    <mergeCell ref="V9:V10"/>
    <mergeCell ref="T85:AH86"/>
    <mergeCell ref="AB56:AG56"/>
    <mergeCell ref="K57:Q57"/>
    <mergeCell ref="X9:X10"/>
    <mergeCell ref="Y9:Y10"/>
    <mergeCell ref="Z9:Z10"/>
    <mergeCell ref="AA9:AE10"/>
    <mergeCell ref="AF9:AH10"/>
    <mergeCell ref="A50:I50"/>
    <mergeCell ref="K50:Q50"/>
    <mergeCell ref="T50:Y50"/>
    <mergeCell ref="AB50:AG50"/>
    <mergeCell ref="A51:I51"/>
    <mergeCell ref="K51:Q51"/>
    <mergeCell ref="T51:Y51"/>
    <mergeCell ref="AB51:AG51"/>
    <mergeCell ref="T55:Y55"/>
    <mergeCell ref="AB55:AG55"/>
    <mergeCell ref="T56:Y56"/>
    <mergeCell ref="A52:I53"/>
    <mergeCell ref="K52:Q52"/>
    <mergeCell ref="T52:Y52"/>
    <mergeCell ref="AB52:AG52"/>
    <mergeCell ref="K53:Q53"/>
    <mergeCell ref="T53:Y53"/>
    <mergeCell ref="AB53:AG53"/>
    <mergeCell ref="A59:I60"/>
    <mergeCell ref="T60:Y60"/>
    <mergeCell ref="AB60:AG60"/>
    <mergeCell ref="A57:I58"/>
    <mergeCell ref="A54:I54"/>
    <mergeCell ref="K54:Q54"/>
    <mergeCell ref="T54:Y54"/>
    <mergeCell ref="AB54:AG54"/>
    <mergeCell ref="A55:I56"/>
    <mergeCell ref="K55:Q55"/>
    <mergeCell ref="T63:Y63"/>
    <mergeCell ref="AB62:AG62"/>
    <mergeCell ref="AB57:AG57"/>
    <mergeCell ref="K58:Q58"/>
    <mergeCell ref="T58:Y58"/>
    <mergeCell ref="AB58:AG58"/>
    <mergeCell ref="K59:Q59"/>
    <mergeCell ref="T59:Y59"/>
    <mergeCell ref="AB59:AG59"/>
    <mergeCell ref="AB63:AG63"/>
    <mergeCell ref="A61:I61"/>
    <mergeCell ref="T61:Y61"/>
    <mergeCell ref="K56:Q56"/>
    <mergeCell ref="T57:Y57"/>
    <mergeCell ref="T68:Y68"/>
    <mergeCell ref="A66:I66"/>
    <mergeCell ref="A62:I64"/>
    <mergeCell ref="K62:Q62"/>
    <mergeCell ref="T62:Y62"/>
    <mergeCell ref="K63:Q63"/>
    <mergeCell ref="K64:Q64"/>
    <mergeCell ref="T64:Y64"/>
    <mergeCell ref="A65:I65"/>
    <mergeCell ref="AD75:AE75"/>
    <mergeCell ref="A68:I69"/>
    <mergeCell ref="T66:Y66"/>
    <mergeCell ref="T67:Y67"/>
    <mergeCell ref="AB65:AG65"/>
    <mergeCell ref="AB64:AG64"/>
    <mergeCell ref="A71:I71"/>
    <mergeCell ref="A72:I73"/>
    <mergeCell ref="AB73:AH74"/>
    <mergeCell ref="A74:I75"/>
    <mergeCell ref="AB75:AC75"/>
    <mergeCell ref="A70:I70"/>
    <mergeCell ref="AF75:AH75"/>
    <mergeCell ref="R70:R71"/>
    <mergeCell ref="K70:Q71"/>
    <mergeCell ref="A76:I79"/>
    <mergeCell ref="T76:Z76"/>
    <mergeCell ref="AB76:AC76"/>
    <mergeCell ref="AD76:AE76"/>
    <mergeCell ref="AF76:AH78"/>
    <mergeCell ref="AB78:AC78"/>
    <mergeCell ref="T77:Y77"/>
    <mergeCell ref="AB77:AC77"/>
    <mergeCell ref="AD77:AE77"/>
    <mergeCell ref="N81:O81"/>
    <mergeCell ref="N82:O82"/>
    <mergeCell ref="N92:N93"/>
    <mergeCell ref="K83:M83"/>
    <mergeCell ref="T83:AH83"/>
    <mergeCell ref="K84:M84"/>
    <mergeCell ref="T84:AH84"/>
    <mergeCell ref="N83:O83"/>
    <mergeCell ref="N84:O84"/>
    <mergeCell ref="N85:O85"/>
    <mergeCell ref="P81:R84"/>
    <mergeCell ref="T81:Y81"/>
    <mergeCell ref="A83:I84"/>
    <mergeCell ref="AD78:AE78"/>
    <mergeCell ref="K79:R79"/>
    <mergeCell ref="T79:Z79"/>
    <mergeCell ref="AB79:AC79"/>
    <mergeCell ref="AD79:AE79"/>
    <mergeCell ref="K82:M82"/>
    <mergeCell ref="N80:O80"/>
    <mergeCell ref="M92:M93"/>
    <mergeCell ref="D92:F93"/>
    <mergeCell ref="G92:G93"/>
    <mergeCell ref="AF79:AH79"/>
    <mergeCell ref="A80:I82"/>
    <mergeCell ref="K80:M80"/>
    <mergeCell ref="P80:R80"/>
    <mergeCell ref="T80:Y80"/>
    <mergeCell ref="AB80:AH81"/>
    <mergeCell ref="K81:M81"/>
    <mergeCell ref="L94:L98"/>
    <mergeCell ref="M94:M98"/>
    <mergeCell ref="Y92:Z92"/>
    <mergeCell ref="O94:O98"/>
    <mergeCell ref="A85:I85"/>
    <mergeCell ref="K85:M85"/>
    <mergeCell ref="P85:R85"/>
    <mergeCell ref="P92:P93"/>
    <mergeCell ref="Q92:Q93"/>
    <mergeCell ref="R92:R93"/>
    <mergeCell ref="A86:I87"/>
    <mergeCell ref="A92:C93"/>
    <mergeCell ref="L92:L93"/>
    <mergeCell ref="A97:C97"/>
    <mergeCell ref="A99:C99"/>
    <mergeCell ref="AA92:AH92"/>
    <mergeCell ref="O92:O93"/>
    <mergeCell ref="A94:C94"/>
    <mergeCell ref="D94:F98"/>
    <mergeCell ref="G94:G98"/>
    <mergeCell ref="H92:K93"/>
    <mergeCell ref="H94:K98"/>
    <mergeCell ref="N94:N98"/>
    <mergeCell ref="S92:X92"/>
    <mergeCell ref="K72:Q72"/>
    <mergeCell ref="A100:C100"/>
    <mergeCell ref="P94:P98"/>
    <mergeCell ref="A95:C95"/>
    <mergeCell ref="A96:C96"/>
    <mergeCell ref="A98:C98"/>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39" firstPageNumber="0" orientation="landscape" r:id="rId1"/>
  <headerFooter scaleWithDoc="0">
    <oddHeader xml:space="preserve">&amp;L&amp;G&amp;R&amp;5Центр поддержки клиентов Grand Line: +7 (495) 748-38-38
cайт: www.grandline.ru   </oddHeader>
    <oddFooter>&amp;R&amp;5Страница 3</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90"/>
  <sheetViews>
    <sheetView zoomScale="70" zoomScaleNormal="70" workbookViewId="0">
      <pane xSplit="1" ySplit="10" topLeftCell="B11" activePane="bottomRight" state="frozen"/>
      <selection pane="topRight" activeCell="B1" sqref="B1"/>
      <selection pane="bottomLeft" activeCell="A11" sqref="A11"/>
      <selection pane="bottomRight" activeCell="A2" sqref="A2:R2"/>
    </sheetView>
  </sheetViews>
  <sheetFormatPr defaultRowHeight="12.75"/>
  <cols>
    <col min="1" max="1" width="45.28515625" style="46" customWidth="1"/>
    <col min="2" max="2" width="15.42578125" style="46" customWidth="1"/>
    <col min="3" max="4" width="12" style="46" customWidth="1"/>
    <col min="5" max="5" width="13" style="46" customWidth="1"/>
    <col min="6" max="6" width="13.140625" style="46" customWidth="1"/>
    <col min="7" max="7" width="12.5703125" style="46" customWidth="1"/>
    <col min="8" max="8" width="11" style="46" customWidth="1"/>
    <col min="9" max="9" width="10.85546875" style="46" customWidth="1"/>
    <col min="10" max="10" width="11" style="46" customWidth="1"/>
    <col min="11" max="11" width="12.5703125" style="46" customWidth="1"/>
    <col min="12" max="12" width="12" style="46" customWidth="1"/>
    <col min="13" max="13" width="11.28515625" style="46" customWidth="1"/>
    <col min="14" max="14" width="12.28515625" style="46" customWidth="1"/>
    <col min="15" max="15" width="12.5703125" style="46" customWidth="1"/>
    <col min="16" max="16" width="10.42578125" style="46" customWidth="1"/>
    <col min="17" max="17" width="9.140625" style="46" customWidth="1"/>
    <col min="18" max="18" width="9" style="46" customWidth="1"/>
    <col min="19" max="19" width="8.7109375" style="46" customWidth="1"/>
    <col min="20" max="20" width="7.7109375" style="46" customWidth="1"/>
    <col min="21" max="21" width="10.28515625" style="46" customWidth="1"/>
    <col min="22" max="22" width="10" style="46" customWidth="1"/>
    <col min="23" max="24" width="7.7109375" style="46" customWidth="1"/>
    <col min="25" max="16384" width="9.140625" style="46"/>
  </cols>
  <sheetData>
    <row r="1" spans="1:24">
      <c r="A1" s="1666" t="s">
        <v>312</v>
      </c>
      <c r="B1" s="1666"/>
      <c r="C1" s="1666"/>
      <c r="D1" s="1666"/>
    </row>
    <row r="2" spans="1:24" ht="17.25" customHeight="1" thickBot="1">
      <c r="A2" s="1482" t="s">
        <v>2489</v>
      </c>
      <c r="B2" s="1482"/>
      <c r="C2" s="1482"/>
      <c r="D2" s="1482"/>
      <c r="E2" s="1482"/>
      <c r="F2" s="1482"/>
      <c r="G2" s="1482"/>
      <c r="H2" s="1482"/>
      <c r="I2" s="1482"/>
      <c r="J2" s="1482"/>
      <c r="K2" s="1482"/>
      <c r="L2" s="1482"/>
      <c r="M2" s="1482"/>
      <c r="N2" s="1482"/>
      <c r="O2" s="1482"/>
      <c r="P2" s="1482"/>
      <c r="Q2" s="1482"/>
      <c r="R2" s="1482"/>
      <c r="S2" s="732"/>
      <c r="T2" s="732"/>
      <c r="U2" s="732"/>
      <c r="V2" s="760" t="s">
        <v>313</v>
      </c>
      <c r="W2" s="2021">
        <v>43301</v>
      </c>
      <c r="X2" s="2021"/>
    </row>
    <row r="3" spans="1:24" ht="15" customHeight="1">
      <c r="A3" s="52"/>
      <c r="B3" s="52"/>
      <c r="S3" s="56"/>
      <c r="T3" s="56"/>
      <c r="V3" s="2" t="s">
        <v>315</v>
      </c>
      <c r="W3" s="2364">
        <v>43301</v>
      </c>
      <c r="X3" s="2364"/>
    </row>
    <row r="4" spans="1:24" ht="13.5" customHeight="1">
      <c r="A4" s="1293" t="s">
        <v>316</v>
      </c>
      <c r="B4" s="1293" t="s">
        <v>525</v>
      </c>
      <c r="C4" s="1293" t="s">
        <v>526</v>
      </c>
      <c r="D4" s="1491" t="s">
        <v>527</v>
      </c>
      <c r="E4" s="1491"/>
      <c r="F4" s="1491"/>
      <c r="G4" s="1491"/>
      <c r="H4" s="1491"/>
      <c r="I4" s="1491"/>
      <c r="J4" s="1491"/>
      <c r="K4" s="1491"/>
      <c r="L4" s="1491"/>
      <c r="M4" s="1491"/>
      <c r="N4" s="1491"/>
      <c r="O4" s="1491"/>
      <c r="P4" s="1491"/>
      <c r="Q4" s="1491"/>
      <c r="R4" s="1491"/>
      <c r="S4" s="1491"/>
      <c r="T4" s="1491"/>
      <c r="U4" s="1491"/>
      <c r="V4" s="1491"/>
      <c r="W4" s="1491"/>
      <c r="X4" s="1491"/>
    </row>
    <row r="5" spans="1:24" ht="15" customHeight="1">
      <c r="A5" s="1293"/>
      <c r="B5" s="1293"/>
      <c r="C5" s="1293"/>
      <c r="D5" s="1462" t="s">
        <v>320</v>
      </c>
      <c r="E5" s="1463"/>
      <c r="F5" s="1463"/>
      <c r="G5" s="1503" t="s">
        <v>321</v>
      </c>
      <c r="H5" s="1586"/>
      <c r="I5" s="1586"/>
      <c r="J5" s="1586"/>
      <c r="K5" s="2365" t="s">
        <v>6295</v>
      </c>
      <c r="L5" s="2365" t="s">
        <v>625</v>
      </c>
      <c r="M5" s="2365" t="s">
        <v>620</v>
      </c>
      <c r="N5" s="2365" t="s">
        <v>5385</v>
      </c>
      <c r="O5" s="1479" t="s">
        <v>324</v>
      </c>
      <c r="P5" s="1517"/>
      <c r="Q5" s="1517"/>
      <c r="R5" s="1462" t="s">
        <v>325</v>
      </c>
      <c r="S5" s="1463"/>
      <c r="T5" s="1463"/>
      <c r="U5" s="1463"/>
      <c r="V5" s="1463"/>
      <c r="W5" s="1464"/>
      <c r="X5" s="814" t="s">
        <v>101</v>
      </c>
    </row>
    <row r="6" spans="1:24" ht="54" customHeight="1">
      <c r="A6" s="1459"/>
      <c r="B6" s="1459"/>
      <c r="C6" s="1459"/>
      <c r="D6" s="58" t="s">
        <v>6572</v>
      </c>
      <c r="E6" s="58" t="s">
        <v>6573</v>
      </c>
      <c r="F6" s="993" t="s">
        <v>329</v>
      </c>
      <c r="G6" s="60" t="s">
        <v>330</v>
      </c>
      <c r="H6" s="62" t="s">
        <v>331</v>
      </c>
      <c r="I6" s="62" t="s">
        <v>332</v>
      </c>
      <c r="J6" s="173" t="s">
        <v>333</v>
      </c>
      <c r="K6" s="1660"/>
      <c r="L6" s="1660"/>
      <c r="M6" s="1660"/>
      <c r="N6" s="1660"/>
      <c r="O6" s="62" t="s">
        <v>2835</v>
      </c>
      <c r="P6" s="107" t="s">
        <v>334</v>
      </c>
      <c r="Q6" s="60" t="s">
        <v>335</v>
      </c>
      <c r="R6" s="1465" t="s">
        <v>289</v>
      </c>
      <c r="S6" s="1466"/>
      <c r="T6" s="1466"/>
      <c r="U6" s="1466"/>
      <c r="V6" s="1466"/>
      <c r="W6" s="1467"/>
      <c r="X6" s="61" t="s">
        <v>337</v>
      </c>
    </row>
    <row r="7" spans="1:24" ht="12.75" customHeight="1">
      <c r="A7" s="1524" t="s">
        <v>340</v>
      </c>
      <c r="B7" s="1525"/>
      <c r="C7" s="1526"/>
      <c r="D7" s="193" t="s">
        <v>341</v>
      </c>
      <c r="E7" s="193" t="s">
        <v>341</v>
      </c>
      <c r="F7" s="998" t="s">
        <v>6846</v>
      </c>
      <c r="G7" s="57" t="s">
        <v>342</v>
      </c>
      <c r="H7" s="57" t="s">
        <v>342</v>
      </c>
      <c r="I7" s="57" t="s">
        <v>342</v>
      </c>
      <c r="J7" s="57" t="s">
        <v>342</v>
      </c>
      <c r="K7" s="193" t="s">
        <v>343</v>
      </c>
      <c r="L7" s="193" t="s">
        <v>341</v>
      </c>
      <c r="M7" s="193" t="s">
        <v>341</v>
      </c>
      <c r="N7" s="193" t="s">
        <v>5377</v>
      </c>
      <c r="O7" s="57" t="s">
        <v>344</v>
      </c>
      <c r="P7" s="57" t="s">
        <v>345</v>
      </c>
      <c r="Q7" s="65" t="s">
        <v>345</v>
      </c>
      <c r="R7" s="1684" t="s">
        <v>344</v>
      </c>
      <c r="S7" s="1684"/>
      <c r="T7" s="1684"/>
      <c r="U7" s="1684"/>
      <c r="V7" s="1684"/>
      <c r="W7" s="1684"/>
      <c r="X7" s="1459"/>
    </row>
    <row r="8" spans="1:24" ht="12.75" customHeight="1">
      <c r="A8" s="1518" t="s">
        <v>529</v>
      </c>
      <c r="B8" s="1519"/>
      <c r="C8" s="1520"/>
      <c r="D8" s="522" t="s">
        <v>530</v>
      </c>
      <c r="E8" s="522" t="s">
        <v>350</v>
      </c>
      <c r="F8" s="996" t="s">
        <v>350</v>
      </c>
      <c r="G8" s="817" t="s">
        <v>531</v>
      </c>
      <c r="H8" s="817" t="s">
        <v>532</v>
      </c>
      <c r="I8" s="817" t="s">
        <v>533</v>
      </c>
      <c r="J8" s="817" t="s">
        <v>532</v>
      </c>
      <c r="K8" s="522" t="s">
        <v>534</v>
      </c>
      <c r="L8" s="522" t="s">
        <v>535</v>
      </c>
      <c r="M8" s="522" t="s">
        <v>356</v>
      </c>
      <c r="N8" s="522" t="s">
        <v>5378</v>
      </c>
      <c r="O8" s="817">
        <v>0.45</v>
      </c>
      <c r="P8" s="817" t="s">
        <v>357</v>
      </c>
      <c r="Q8" s="994" t="s">
        <v>532</v>
      </c>
      <c r="R8" s="522">
        <v>0.8</v>
      </c>
      <c r="S8" s="522">
        <v>0.7</v>
      </c>
      <c r="T8" s="522" t="s">
        <v>3728</v>
      </c>
      <c r="U8" s="1685">
        <v>0.45</v>
      </c>
      <c r="V8" s="1685"/>
      <c r="W8" s="522">
        <v>0.4</v>
      </c>
      <c r="X8" s="1460"/>
    </row>
    <row r="9" spans="1:24" ht="12.75" customHeight="1">
      <c r="A9" s="1518" t="s">
        <v>537</v>
      </c>
      <c r="B9" s="1519"/>
      <c r="C9" s="1520"/>
      <c r="D9" s="1685" t="s">
        <v>359</v>
      </c>
      <c r="E9" s="1685" t="s">
        <v>359</v>
      </c>
      <c r="F9" s="2366" t="s">
        <v>359</v>
      </c>
      <c r="G9" s="1460" t="s">
        <v>4086</v>
      </c>
      <c r="H9" s="1460" t="s">
        <v>360</v>
      </c>
      <c r="I9" s="1460" t="s">
        <v>4087</v>
      </c>
      <c r="J9" s="1460" t="s">
        <v>4087</v>
      </c>
      <c r="K9" s="1685" t="s">
        <v>360</v>
      </c>
      <c r="L9" s="1685" t="s">
        <v>4087</v>
      </c>
      <c r="M9" s="1685" t="s">
        <v>4087</v>
      </c>
      <c r="N9" s="1685" t="s">
        <v>4087</v>
      </c>
      <c r="O9" s="1460" t="s">
        <v>361</v>
      </c>
      <c r="P9" s="1460" t="s">
        <v>359</v>
      </c>
      <c r="Q9" s="1658" t="s">
        <v>359</v>
      </c>
      <c r="R9" s="1685" t="s">
        <v>361</v>
      </c>
      <c r="S9" s="1685" t="s">
        <v>361</v>
      </c>
      <c r="T9" s="1685" t="s">
        <v>361</v>
      </c>
      <c r="U9" s="1685" t="s">
        <v>361</v>
      </c>
      <c r="V9" s="1685"/>
      <c r="W9" s="1685" t="s">
        <v>362</v>
      </c>
      <c r="X9" s="1460" t="s">
        <v>362</v>
      </c>
    </row>
    <row r="10" spans="1:24" ht="27.75" customHeight="1">
      <c r="A10" s="1521"/>
      <c r="B10" s="1522"/>
      <c r="C10" s="1523"/>
      <c r="D10" s="1686"/>
      <c r="E10" s="1686"/>
      <c r="F10" s="2367"/>
      <c r="G10" s="1461"/>
      <c r="H10" s="1461"/>
      <c r="I10" s="1461"/>
      <c r="J10" s="1461"/>
      <c r="K10" s="1686"/>
      <c r="L10" s="1686"/>
      <c r="M10" s="1686"/>
      <c r="N10" s="1686"/>
      <c r="O10" s="1461"/>
      <c r="P10" s="1461"/>
      <c r="Q10" s="1682"/>
      <c r="R10" s="1686"/>
      <c r="S10" s="1686"/>
      <c r="T10" s="1686"/>
      <c r="U10" s="195" t="s">
        <v>538</v>
      </c>
      <c r="V10" s="195" t="s">
        <v>4223</v>
      </c>
      <c r="W10" s="1686"/>
      <c r="X10" s="1461"/>
    </row>
    <row r="11" spans="1:24">
      <c r="A11" s="796" t="s">
        <v>521</v>
      </c>
      <c r="B11" s="797"/>
      <c r="C11" s="797"/>
      <c r="D11" s="797"/>
      <c r="E11" s="797"/>
      <c r="F11" s="797"/>
      <c r="G11" s="797"/>
      <c r="H11" s="797"/>
      <c r="I11" s="797"/>
      <c r="J11" s="797"/>
      <c r="K11" s="797"/>
      <c r="L11" s="797"/>
      <c r="M11" s="797"/>
      <c r="N11" s="797"/>
      <c r="O11" s="797"/>
      <c r="P11" s="797"/>
      <c r="Q11" s="797"/>
      <c r="R11" s="797"/>
      <c r="S11" s="797"/>
      <c r="T11" s="797"/>
      <c r="U11" s="797"/>
      <c r="V11" s="797"/>
      <c r="W11" s="797"/>
      <c r="X11" s="798"/>
    </row>
    <row r="12" spans="1:24" ht="25.5" customHeight="1">
      <c r="A12" s="1071" t="s">
        <v>2490</v>
      </c>
      <c r="B12" s="459" t="s">
        <v>403</v>
      </c>
      <c r="C12" s="460" t="s">
        <v>404</v>
      </c>
      <c r="D12" s="100">
        <f>ROUND(S_KDoska_Ptdp*Belarus*(1-D85),2)</f>
        <v>760</v>
      </c>
      <c r="E12" s="100">
        <f>ROUND(S_KDoska_Pt*Belarus*(1-D85),2)</f>
        <v>633</v>
      </c>
      <c r="F12" s="100">
        <f>ROUND(S_KDoska_Sf*Belarus*(1-D85),2)</f>
        <v>663</v>
      </c>
      <c r="G12" s="721">
        <f>ROUND(S_KDoska_Q*Belarus*(1-G85),2)</f>
        <v>739</v>
      </c>
      <c r="H12" s="460">
        <f>ROUND(S_KDoska_Ql*Belarus*(1-G85),2)</f>
        <v>591</v>
      </c>
      <c r="I12" s="460">
        <f>ROUND(S_KDoska_Vel*Belarus*(1-G85),2)</f>
        <v>580</v>
      </c>
      <c r="J12" s="170">
        <f>ROUND(S_KDoska_Atl*Belarus*(1-G85),2)</f>
        <v>559</v>
      </c>
      <c r="K12" s="100">
        <f>ROUND(S_KDoska_Pur*Belarus*(1-K85),2)</f>
        <v>809</v>
      </c>
      <c r="L12" s="100">
        <f>ROUND(S_KDoska_Pdx*Belarus*(1-L85),2)</f>
        <v>525</v>
      </c>
      <c r="M12" s="100">
        <f>ROUND(S_KDoska_Pdxmatt*Belarus*(1-M85),2)</f>
        <v>535</v>
      </c>
      <c r="N12" s="100">
        <f>ROUND(S_KDoska_StBarhat*Belarus*(1-N85),2)</f>
        <v>505</v>
      </c>
      <c r="O12" s="170" t="str">
        <f>ROUND(S_KDoska_PtNN*Belarus*(1-O85),2)&amp;" НН"</f>
        <v>575 НН</v>
      </c>
      <c r="P12" s="170">
        <f>ROUND(S_KDoska_Dr*Belarus*(1-P86),2)</f>
        <v>426</v>
      </c>
      <c r="Q12" s="170">
        <f>ROUND(S_KDoska_Sat*Belarus*(1-Q86),2)</f>
        <v>441</v>
      </c>
      <c r="R12" s="100" t="s">
        <v>369</v>
      </c>
      <c r="S12" s="100" t="s">
        <v>369</v>
      </c>
      <c r="T12" s="1163" t="s">
        <v>369</v>
      </c>
      <c r="U12" s="1163">
        <f>ROUND(S_KDoska_Pe045*Belarus*(1-U86),2)</f>
        <v>406</v>
      </c>
      <c r="V12" s="1163">
        <f>ROUND((S_KDoska_Pe045+18)*Belarus*(1-U86),2)</f>
        <v>424</v>
      </c>
      <c r="W12" s="100" t="s">
        <v>369</v>
      </c>
      <c r="X12" s="170" t="s">
        <v>369</v>
      </c>
    </row>
    <row r="13" spans="1:24" ht="12.75" customHeight="1">
      <c r="A13" s="157" t="s">
        <v>2491</v>
      </c>
      <c r="B13" s="461" t="s">
        <v>2492</v>
      </c>
      <c r="C13" s="461" t="s">
        <v>404</v>
      </c>
      <c r="D13" s="87">
        <f>ROUND(S_Vertikal_Ptdp*Belarus*(1-D85),2)</f>
        <v>806</v>
      </c>
      <c r="E13" s="87">
        <f>ROUND(S_Vertikal_Pt*Belarus*(1-D85),2)</f>
        <v>670</v>
      </c>
      <c r="F13" s="87">
        <f>ROUND(S_Vertikal_Sf*Belarus*(1-D85),2)</f>
        <v>701</v>
      </c>
      <c r="G13" s="721">
        <f>ROUND(S_Vertikal_Q*Belarus*(1-G85),2)</f>
        <v>784</v>
      </c>
      <c r="H13" s="90">
        <f>ROUND(S_Vertikal_Ql*Belarus*(1-G85),2)</f>
        <v>626</v>
      </c>
      <c r="I13" s="90">
        <f>ROUND(S_Vertikal_Vel*Belarus*(1-G85),2)</f>
        <v>614</v>
      </c>
      <c r="J13" s="90">
        <f>ROUND(S_Vertikal_Atl*Belarus*(1-G85),2)</f>
        <v>592</v>
      </c>
      <c r="K13" s="87">
        <f>ROUND(S_Vertikal_Pur*Belarus*(1-K85),2)</f>
        <v>856</v>
      </c>
      <c r="L13" s="87">
        <f>ROUND(S_Vertikal_Pdx*Belarus*(1-L85),2)</f>
        <v>556</v>
      </c>
      <c r="M13" s="87">
        <f>ROUND(S_Vertikal_Pdxmatt*Belarus*(1-M85),2)</f>
        <v>566</v>
      </c>
      <c r="N13" s="87">
        <f>ROUND(S_Vertikal_StBarhat*Belarus*(1-N85),2)</f>
        <v>535</v>
      </c>
      <c r="O13" s="90" t="s">
        <v>369</v>
      </c>
      <c r="P13" s="90">
        <f>ROUND(S_Vertikal_Dr*Belarus*(1-P86),2)</f>
        <v>466</v>
      </c>
      <c r="Q13" s="90">
        <f>ROUND(S_Vertikal_Sat*Belarus*(1-Q86),2)</f>
        <v>465</v>
      </c>
      <c r="R13" s="87" t="s">
        <v>369</v>
      </c>
      <c r="S13" s="87" t="s">
        <v>369</v>
      </c>
      <c r="T13" s="114" t="s">
        <v>369</v>
      </c>
      <c r="U13" s="114">
        <f>ROUND(S_Vertikal_Pe045*Belarus*(1-U86),2)</f>
        <v>428</v>
      </c>
      <c r="V13" s="114">
        <f>ROUND((S_Vertikal_Pe045+18)*Belarus*(1-U86),2)</f>
        <v>446</v>
      </c>
      <c r="W13" s="87" t="s">
        <v>369</v>
      </c>
      <c r="X13" s="90" t="s">
        <v>369</v>
      </c>
    </row>
    <row r="14" spans="1:24" ht="12.75" customHeight="1">
      <c r="A14" s="157" t="s">
        <v>6323</v>
      </c>
      <c r="B14" s="461" t="s">
        <v>2494</v>
      </c>
      <c r="C14" s="461" t="s">
        <v>404</v>
      </c>
      <c r="D14" s="87">
        <f>ROUND(S_EBrus_Ptdp*Belarus*(1-D85),2)</f>
        <v>779</v>
      </c>
      <c r="E14" s="87">
        <f>ROUND(S_EBrus_Pt*Belarus*(1-D85),2)</f>
        <v>647</v>
      </c>
      <c r="F14" s="87">
        <f>ROUND(S_EBrus_Sf*Belarus*(1-D85),2)</f>
        <v>679</v>
      </c>
      <c r="G14" s="721">
        <f>ROUND(S_EBrus_Q*Belarus*(1-G85),2)</f>
        <v>749</v>
      </c>
      <c r="H14" s="90" t="s">
        <v>369</v>
      </c>
      <c r="I14" s="90">
        <f>ROUND(S_EBrus_Vel*Belarus*(1-G85),2)</f>
        <v>593</v>
      </c>
      <c r="J14" s="90" t="s">
        <v>369</v>
      </c>
      <c r="K14" s="87">
        <f>ROUND(S_EBrus_Pur*Belarus*(1-K85),2)</f>
        <v>827</v>
      </c>
      <c r="L14" s="87">
        <f>ROUND(S_EBrus_Pdx*Belarus*(1-L85),2)</f>
        <v>537</v>
      </c>
      <c r="M14" s="87">
        <f>ROUND(S_EBrus_Pdxmatt*Belarus*(1-M85),2)</f>
        <v>547</v>
      </c>
      <c r="N14" s="87">
        <f>ROUND(S_EBrus_StBarhat*Belarus*(1-N85),2)</f>
        <v>515</v>
      </c>
      <c r="O14" s="90" t="str">
        <f>ROUND(S_EBrus_PtNN*Belarus*(1-O85),2)&amp;" НН"</f>
        <v>589 НН</v>
      </c>
      <c r="P14" s="90">
        <f>ROUND(S_EBrus_Dr*Belarus*(1-P86),2)</f>
        <v>445</v>
      </c>
      <c r="Q14" s="90">
        <f>ROUND(S_EBrus_Sat*Belarus*(1-Q86),2)</f>
        <v>455</v>
      </c>
      <c r="R14" s="87" t="s">
        <v>369</v>
      </c>
      <c r="S14" s="87" t="s">
        <v>369</v>
      </c>
      <c r="T14" s="114" t="s">
        <v>369</v>
      </c>
      <c r="U14" s="114">
        <f>ROUND(S_EBrus_Pe045*Belarus*(1-U86),2)</f>
        <v>416</v>
      </c>
      <c r="V14" s="114">
        <f>ROUND((S_EBrus_Pe045+18)*Belarus*(1-U86),2)</f>
        <v>434</v>
      </c>
      <c r="W14" s="87" t="s">
        <v>369</v>
      </c>
      <c r="X14" s="90" t="s">
        <v>369</v>
      </c>
    </row>
    <row r="15" spans="1:24" ht="27.75" customHeight="1">
      <c r="A15" s="97" t="s">
        <v>6297</v>
      </c>
      <c r="B15" s="461" t="s">
        <v>3733</v>
      </c>
      <c r="C15" s="461" t="s">
        <v>404</v>
      </c>
      <c r="D15" s="163" t="str">
        <f>ROUND(S_BHaus_Ptdp*Belarus*(1-D85),2)&amp;" Врн"</f>
        <v>779 Врн</v>
      </c>
      <c r="E15" s="163" t="str">
        <f>ROUND(S_BHaus_Pt*Belarus*(1-D85),2)&amp;" НН,Врн"</f>
        <v>647 НН,Врн</v>
      </c>
      <c r="F15" s="949" t="str">
        <f>ROUND(S_BHaus_Sf*Belarus*(1-D85),2)&amp;" Врн"</f>
        <v>679 Врн</v>
      </c>
      <c r="G15" s="1128" t="str">
        <f>ROUND(S_BHaus_Q*Belarus*(1-G85),2)&amp;" Врн"</f>
        <v>749 Врн</v>
      </c>
      <c r="H15" s="162" t="str">
        <f>ROUND(S_BHaus_Ql*Belarus*(1-G85),2)&amp;" Врн"</f>
        <v>604 Врн</v>
      </c>
      <c r="I15" s="162" t="str">
        <f>ROUND(S_BHaus_Vel*Belarus*(1-G85),2)&amp;" Врн"</f>
        <v>593 Врн</v>
      </c>
      <c r="J15" s="162" t="str">
        <f>ROUND(S_BHaus_Atl*Belarus*(1-G85),2)&amp;" Врн"</f>
        <v>571 Врн</v>
      </c>
      <c r="K15" s="163" t="str">
        <f>ROUND(S_BHaus_Pur*Belarus*(1-K85),2)&amp;" Врн"</f>
        <v>827 Врн</v>
      </c>
      <c r="L15" s="163" t="str">
        <f>ROUND(S_BHaus_Pdx*Belarus*(1-L85),2)&amp;" Врн"</f>
        <v>537 Врн</v>
      </c>
      <c r="M15" s="163" t="str">
        <f>ROUND(S_BHaus_Pdxmatt*Belarus*(1-M85),2)&amp;" Врн"</f>
        <v>547 Врн</v>
      </c>
      <c r="N15" s="163" t="s">
        <v>369</v>
      </c>
      <c r="O15" s="443" t="s">
        <v>369</v>
      </c>
      <c r="P15" s="162" t="str">
        <f>ROUND(S_BHaus_Dr*Belarus*(1-P86),2)&amp;" Врн"</f>
        <v>445 Врн</v>
      </c>
      <c r="Q15" s="162" t="str">
        <f>ROUND(S_BHaus_Sat*Belarus*(1-Q86),2)&amp;" Врн"</f>
        <v>455 Врн</v>
      </c>
      <c r="R15" s="163" t="s">
        <v>369</v>
      </c>
      <c r="S15" s="163" t="s">
        <v>369</v>
      </c>
      <c r="T15" s="1162" t="s">
        <v>369</v>
      </c>
      <c r="U15" s="1162" t="str">
        <f>ROUND(S_BHaus_Pe045*Belarus*(1-U86),2)&amp;" Врн"</f>
        <v>416 Врн</v>
      </c>
      <c r="V15" s="1162" t="str">
        <f>ROUND((S_BHaus_Pe045+18)*Belarus*(1-U86),2)&amp;" Врн"</f>
        <v>434 Врн</v>
      </c>
      <c r="W15" s="163" t="s">
        <v>369</v>
      </c>
      <c r="X15" s="162" t="s">
        <v>369</v>
      </c>
    </row>
    <row r="16" spans="1:24" ht="12.75" customHeight="1">
      <c r="A16" s="161" t="s">
        <v>6739</v>
      </c>
      <c r="B16" s="461" t="s">
        <v>2495</v>
      </c>
      <c r="C16" s="461" t="s">
        <v>404</v>
      </c>
      <c r="D16" s="87">
        <f>ROUND(S_BHausNew_Ptdp*Belarus*(1-D85),2)</f>
        <v>779</v>
      </c>
      <c r="E16" s="87">
        <f>ROUND(S_BHausNew_Pt*Belarus*(1-D85),2)</f>
        <v>647</v>
      </c>
      <c r="F16" s="87">
        <f>ROUND(S_BHausNew_Sf*Belarus*(1-D85),2)</f>
        <v>679</v>
      </c>
      <c r="G16" s="721">
        <f>ROUND(S_BHausNew_Q*Belarus*(1-G85),2)</f>
        <v>749</v>
      </c>
      <c r="H16" s="461">
        <f>ROUND(S_BHausNew_Ql*Belarus*(1-G85),2)</f>
        <v>604</v>
      </c>
      <c r="I16" s="461">
        <f>ROUND(S_BHausNew_Vel*Belarus*(1-G85),2)</f>
        <v>593</v>
      </c>
      <c r="J16" s="90">
        <f>ROUND(S_BHausNew_Atl*Belarus*(1-G85),2)</f>
        <v>571</v>
      </c>
      <c r="K16" s="87">
        <f>ROUND(S_BHausNew_Pur*Belarus*(1-K85),2)</f>
        <v>827</v>
      </c>
      <c r="L16" s="87">
        <f>ROUND(S_BHausNew_Pdx*Belarus*(1-L85),2)</f>
        <v>537</v>
      </c>
      <c r="M16" s="87">
        <f>ROUND(S_BHausNew_Pdxmatt*Belarus*(1-M85),2)</f>
        <v>547</v>
      </c>
      <c r="N16" s="87">
        <f>ROUND(S_BHausNew_StBarhat*Belarus*(1-N85),2)</f>
        <v>515</v>
      </c>
      <c r="O16" s="90" t="s">
        <v>369</v>
      </c>
      <c r="P16" s="90">
        <f>ROUND(S_BHausNew_Dr*Belarus*(1-P86),2)</f>
        <v>445</v>
      </c>
      <c r="Q16" s="90">
        <f>ROUND(S_BHausNew_Sat*Belarus*(1-Q86),2)</f>
        <v>455</v>
      </c>
      <c r="R16" s="87" t="s">
        <v>369</v>
      </c>
      <c r="S16" s="87" t="s">
        <v>369</v>
      </c>
      <c r="T16" s="114" t="s">
        <v>369</v>
      </c>
      <c r="U16" s="114">
        <f>ROUND(S_BHausNew_Pe045*Belarus*(1-U86),2)</f>
        <v>416</v>
      </c>
      <c r="V16" s="114">
        <f>ROUND((S_BHausNew_Pe045+18)*Belarus*(1-U86),2)</f>
        <v>434</v>
      </c>
      <c r="W16" s="87" t="s">
        <v>369</v>
      </c>
      <c r="X16" s="90" t="s">
        <v>369</v>
      </c>
    </row>
    <row r="17" spans="1:24" ht="12.75" customHeight="1">
      <c r="A17" s="796" t="s">
        <v>2496</v>
      </c>
      <c r="B17" s="797"/>
      <c r="C17" s="797"/>
      <c r="D17" s="797"/>
      <c r="E17" s="797"/>
      <c r="F17" s="797"/>
      <c r="G17" s="797"/>
      <c r="H17" s="797"/>
      <c r="I17" s="797"/>
      <c r="J17" s="797"/>
      <c r="K17" s="797"/>
      <c r="L17" s="797"/>
      <c r="M17" s="797"/>
      <c r="N17" s="797"/>
      <c r="O17" s="797"/>
      <c r="P17" s="797"/>
      <c r="Q17" s="797"/>
      <c r="R17" s="797"/>
      <c r="S17" s="797"/>
      <c r="T17" s="797"/>
      <c r="U17" s="797"/>
      <c r="V17" s="797"/>
      <c r="W17" s="797"/>
      <c r="X17" s="798"/>
    </row>
    <row r="18" spans="1:24" ht="18" customHeight="1">
      <c r="A18" s="157" t="s">
        <v>3729</v>
      </c>
      <c r="B18" s="158" t="s">
        <v>550</v>
      </c>
      <c r="C18" s="461" t="s">
        <v>381</v>
      </c>
      <c r="D18" s="87" t="s">
        <v>369</v>
      </c>
      <c r="E18" s="87">
        <f>ROUND(Klik_Pt*Belarus*(1-D85),2)</f>
        <v>675</v>
      </c>
      <c r="F18" s="87">
        <f>ROUND(Klik_Sf*Belarus*(1-D85),2)</f>
        <v>722</v>
      </c>
      <c r="G18" s="90">
        <f>ROUND(Klik_Q*Belarus*(1-G85),2)</f>
        <v>756</v>
      </c>
      <c r="H18" s="90">
        <f>ROUND(Klik_Ql*Belarus*(1-G85),2)</f>
        <v>650</v>
      </c>
      <c r="I18" s="90">
        <f>ROUND(Klik_Vel*Belarus*(1-G85),2)</f>
        <v>638</v>
      </c>
      <c r="J18" s="90">
        <f>ROUND(Klik_Atl*Belarus*(1-G85),2)</f>
        <v>615</v>
      </c>
      <c r="K18" s="87" t="s">
        <v>369</v>
      </c>
      <c r="L18" s="87">
        <f>ROUND(Klik_Pdx*Belarus*(1-L85),2)</f>
        <v>582</v>
      </c>
      <c r="M18" s="87">
        <f>ROUND(Klik_Pdxmatt*Belarus*(1-M85),2)</f>
        <v>592</v>
      </c>
      <c r="N18" s="87">
        <f>ROUND(Klik_StBarhat*(1-N85),2)</f>
        <v>556</v>
      </c>
      <c r="O18" s="90" t="s">
        <v>369</v>
      </c>
      <c r="P18" s="90">
        <f>ROUND(Klik_Dr*Belarus*(1-P85),2)</f>
        <v>484</v>
      </c>
      <c r="Q18" s="90">
        <f>ROUND(Klik_Sat*Belarus*(1-Q85),2)</f>
        <v>472</v>
      </c>
      <c r="R18" s="114" t="s">
        <v>369</v>
      </c>
      <c r="S18" s="114">
        <f>ROUND(Klik_Pe07*Belarus*(1-S85),2)</f>
        <v>623</v>
      </c>
      <c r="T18" s="114">
        <f>ROUND(Klik_Pe065*Belarus*(1-T85),2)</f>
        <v>603</v>
      </c>
      <c r="U18" s="114">
        <f>ROUND(Klik_Pe045*Belarus*(1-U86),2)</f>
        <v>435</v>
      </c>
      <c r="V18" s="114">
        <f>ROUND((Klik_Pe045+18)*Belarus*(1-U85),2)</f>
        <v>453</v>
      </c>
      <c r="W18" s="87" t="s">
        <v>369</v>
      </c>
      <c r="X18" s="90" t="s">
        <v>369</v>
      </c>
    </row>
    <row r="19" spans="1:24" ht="29.25" customHeight="1">
      <c r="A19" s="157" t="s">
        <v>6850</v>
      </c>
      <c r="B19" s="792" t="s">
        <v>551</v>
      </c>
      <c r="C19" s="461" t="s">
        <v>381</v>
      </c>
      <c r="D19" s="87" t="s">
        <v>369</v>
      </c>
      <c r="E19" s="87">
        <f>ROUND(Klik_mini_Pt*Belarus*(1-D85),2)</f>
        <v>730</v>
      </c>
      <c r="F19" s="87">
        <f>ROUND(Klik_mini_Sf*Belarus*(1-D85),2)</f>
        <v>782</v>
      </c>
      <c r="G19" s="90">
        <f>ROUND(Klik_mini_Q*Belarus*(1-G85),2)</f>
        <v>819</v>
      </c>
      <c r="H19" s="90">
        <f>ROUND(Klik_mini_Ql*Belarus*(1-G85),2)</f>
        <v>704</v>
      </c>
      <c r="I19" s="90">
        <f>ROUND(Klik_mini_Vel*Belarus*(1-G85),2)</f>
        <v>691</v>
      </c>
      <c r="J19" s="90">
        <f>ROUND(Klik_mini_Atl*Belarus*(1-G85),2)</f>
        <v>667</v>
      </c>
      <c r="K19" s="87" t="s">
        <v>369</v>
      </c>
      <c r="L19" s="87">
        <f>ROUND(Klik_mini_Pdx*Belarus*(1-L85),2)</f>
        <v>631</v>
      </c>
      <c r="M19" s="87">
        <f>ROUND(Klik_mini_Pdxmatt*Belarus*(1-M85),2)</f>
        <v>641</v>
      </c>
      <c r="N19" s="87">
        <f>ROUND(Klik_mini_StBarhat*Belarus*(1-N85),2)</f>
        <v>603</v>
      </c>
      <c r="O19" s="90" t="s">
        <v>369</v>
      </c>
      <c r="P19" s="90">
        <f>ROUND(Klik_mini_Dr*Belarus*(1-P85),2)</f>
        <v>524</v>
      </c>
      <c r="Q19" s="90">
        <f>ROUND(Klik_mini_Sat*Belarus*(1-Q85),2)</f>
        <v>511</v>
      </c>
      <c r="R19" s="114" t="s">
        <v>369</v>
      </c>
      <c r="S19" s="114">
        <f>ROUND(Klik_mini_Pe07*Belarus*(1-S85),2)</f>
        <v>675</v>
      </c>
      <c r="T19" s="114">
        <f>ROUND(Klik_mini_Pe065*Belarus*(1-T85),2)</f>
        <v>654</v>
      </c>
      <c r="U19" s="114">
        <f>ROUND(Klik_mini_Pe045*Belarus*(1-U86),2)</f>
        <v>471</v>
      </c>
      <c r="V19" s="114">
        <f>ROUND((Klik_mini_Pe045+18)*Belarus*(1-U85),2)</f>
        <v>489</v>
      </c>
      <c r="W19" s="87" t="s">
        <v>369</v>
      </c>
      <c r="X19" s="90" t="s">
        <v>369</v>
      </c>
    </row>
    <row r="20" spans="1:24">
      <c r="A20" s="796" t="s">
        <v>385</v>
      </c>
      <c r="B20" s="797"/>
      <c r="C20" s="797"/>
      <c r="D20" s="797"/>
      <c r="E20" s="797"/>
      <c r="F20" s="797"/>
      <c r="G20" s="797"/>
      <c r="H20" s="797"/>
      <c r="I20" s="797"/>
      <c r="J20" s="797"/>
      <c r="K20" s="797"/>
      <c r="L20" s="797"/>
      <c r="M20" s="797"/>
      <c r="N20" s="797"/>
      <c r="O20" s="797"/>
      <c r="P20" s="797"/>
      <c r="Q20" s="797"/>
      <c r="R20" s="797"/>
      <c r="S20" s="797"/>
      <c r="T20" s="797"/>
      <c r="U20" s="797"/>
      <c r="V20" s="797"/>
      <c r="W20" s="797"/>
      <c r="X20" s="798"/>
    </row>
    <row r="21" spans="1:24">
      <c r="A21" s="161" t="s">
        <v>93</v>
      </c>
      <c r="B21" s="90" t="s">
        <v>2497</v>
      </c>
      <c r="C21" s="90" t="s">
        <v>387</v>
      </c>
      <c r="D21" s="87">
        <f>ROUND(PnC8_Ptdp*Belarus*(1-D85),2)</f>
        <v>688</v>
      </c>
      <c r="E21" s="87">
        <f>ROUND(PnC8_Pt*Belarus*(1-D85),2)</f>
        <v>570</v>
      </c>
      <c r="F21" s="87">
        <f>ROUND(PnC8_Sf*Belarus*(1-D85),2)</f>
        <v>597</v>
      </c>
      <c r="G21" s="90">
        <f>ROUND(PnC8_Q*Belarus*(1-G85),2)</f>
        <v>628</v>
      </c>
      <c r="H21" s="90">
        <f>ROUND(PnC8_Ql*Belarus*(1-G85),2)</f>
        <v>532</v>
      </c>
      <c r="I21" s="1129">
        <f>ROUND(PnC8_Vel*Belarus*(1-G85),2)</f>
        <v>521</v>
      </c>
      <c r="J21" s="90">
        <f>ROUND(PnC8_Atl*Belarus*(1-G85),2)</f>
        <v>500</v>
      </c>
      <c r="K21" s="87">
        <f>ROUND(PnC8_Pur*Belarus*(1-K85),2)</f>
        <v>709</v>
      </c>
      <c r="L21" s="87">
        <f>ROUND(PnC8_Pdx*Belarus*(1-L85),2)</f>
        <v>471</v>
      </c>
      <c r="M21" s="87">
        <f>ROUND(PnC8_Pdxmatt*Belarus*(1-M85),2)</f>
        <v>481</v>
      </c>
      <c r="N21" s="87">
        <f>ROUND(PnC8_StBarhat*Belarus*(1-N85),2)</f>
        <v>447</v>
      </c>
      <c r="O21" s="90" t="str">
        <f>ROUND(PnC8_PtNN*Belarus*(1-O85),2)&amp;" НН"</f>
        <v>502 НН</v>
      </c>
      <c r="P21" s="90">
        <f>ROUND(PnC8_Dr*Belarus*(1-P87),2)</f>
        <v>382</v>
      </c>
      <c r="Q21" s="90">
        <f>ROUND(PnC8_Sat*Belarus*(1-Q87),2)</f>
        <v>371</v>
      </c>
      <c r="R21" s="114" t="s">
        <v>369</v>
      </c>
      <c r="S21" s="114" t="s">
        <v>369</v>
      </c>
      <c r="T21" s="114" t="s">
        <v>369</v>
      </c>
      <c r="U21" s="114">
        <f>ROUND(PnC8_Pe045*Belarus*(1-U87),2)</f>
        <v>338</v>
      </c>
      <c r="V21" s="114">
        <f>ROUND((PnC8_Pe045+18)*Belarus*(1-U87),2)</f>
        <v>356</v>
      </c>
      <c r="W21" s="87">
        <f>ROUND(PnC8_Pe04*Belarus*(1-W87),2)</f>
        <v>314</v>
      </c>
      <c r="X21" s="90">
        <f>ROUND(PnC8_dachPr*Belarus*(1-X87),2)</f>
        <v>267</v>
      </c>
    </row>
    <row r="22" spans="1:24">
      <c r="A22" s="97" t="s">
        <v>6849</v>
      </c>
      <c r="B22" s="90" t="s">
        <v>6859</v>
      </c>
      <c r="C22" s="90">
        <v>2</v>
      </c>
      <c r="D22" s="87" t="s">
        <v>369</v>
      </c>
      <c r="E22" s="87" t="s">
        <v>369</v>
      </c>
      <c r="F22" s="87" t="s">
        <v>369</v>
      </c>
      <c r="G22" s="90" t="s">
        <v>369</v>
      </c>
      <c r="H22" s="90" t="s">
        <v>369</v>
      </c>
      <c r="I22" s="90" t="s">
        <v>369</v>
      </c>
      <c r="J22" s="90" t="s">
        <v>369</v>
      </c>
      <c r="K22" s="87" t="s">
        <v>369</v>
      </c>
      <c r="L22" s="87" t="s">
        <v>369</v>
      </c>
      <c r="M22" s="87" t="s">
        <v>369</v>
      </c>
      <c r="N22" s="87" t="s">
        <v>369</v>
      </c>
      <c r="O22" s="90" t="s">
        <v>369</v>
      </c>
      <c r="P22" s="90" t="s">
        <v>369</v>
      </c>
      <c r="Q22" s="90" t="s">
        <v>369</v>
      </c>
      <c r="R22" s="87" t="s">
        <v>369</v>
      </c>
      <c r="S22" s="87" t="s">
        <v>369</v>
      </c>
      <c r="T22" s="87" t="s">
        <v>369</v>
      </c>
      <c r="U22" s="87" t="str">
        <f>ROUND(PnC8Uno_Pe045*Belarus*(1-U87),2)&amp;" (7)"</f>
        <v>341 (7)</v>
      </c>
      <c r="V22" s="114" t="s">
        <v>369</v>
      </c>
      <c r="W22" s="87" t="s">
        <v>369</v>
      </c>
      <c r="X22" s="90" t="s">
        <v>369</v>
      </c>
    </row>
    <row r="23" spans="1:24">
      <c r="A23" s="157" t="s">
        <v>98</v>
      </c>
      <c r="B23" s="90" t="s">
        <v>552</v>
      </c>
      <c r="C23" s="90" t="s">
        <v>387</v>
      </c>
      <c r="D23" s="87">
        <f>ROUND(PnC10_Ptdp*Belarus*(1-D85),2)</f>
        <v>702</v>
      </c>
      <c r="E23" s="87">
        <f>ROUND(PnC10_Pt*Belarus*(1-D85),2)</f>
        <v>581</v>
      </c>
      <c r="F23" s="87">
        <f>ROUND(PnC10_Sf*Belarus*(1-D85),2)</f>
        <v>609</v>
      </c>
      <c r="G23" s="90">
        <f>ROUND(PnC10_Q*Belarus*(1-G85),2)</f>
        <v>641</v>
      </c>
      <c r="H23" s="90">
        <f>ROUND(PnC10_Ql*Belarus*(1-G85),2)</f>
        <v>543</v>
      </c>
      <c r="I23" s="1129">
        <f>ROUND(PnC10_Vel*Belarus*(1-G85),2)</f>
        <v>532</v>
      </c>
      <c r="J23" s="90">
        <f>ROUND(PnC10_Atl*Belarus*(1-G85),2)</f>
        <v>510</v>
      </c>
      <c r="K23" s="87">
        <f>ROUND(PnC10_Pur*Belarus*(1-K85),2)</f>
        <v>723</v>
      </c>
      <c r="L23" s="87">
        <f>ROUND(PnC10_Pdx*Belarus*(1-L85),2)</f>
        <v>481</v>
      </c>
      <c r="M23" s="87">
        <f>ROUND(PnC10_Pdxmatt*Belarus*(1-M85),2)</f>
        <v>491</v>
      </c>
      <c r="N23" s="87">
        <f>ROUND(PnC10_StBarhat*Belarus*(1-N85),2)</f>
        <v>457</v>
      </c>
      <c r="O23" s="90" t="str">
        <f>ROUND(PnC10_PtNN*Belarus*(1-O85),2)&amp;" НН"</f>
        <v>513 НН</v>
      </c>
      <c r="P23" s="90">
        <f>ROUND(PnC10_Dr*Belarus*(1-P87),2)</f>
        <v>395</v>
      </c>
      <c r="Q23" s="90">
        <f>ROUND(PnC10_Sat*Belarus*(1-Q87),2)</f>
        <v>379</v>
      </c>
      <c r="R23" s="114" t="s">
        <v>369</v>
      </c>
      <c r="S23" s="114" t="str">
        <f>ROUND(PnC10_Pe07*Belarus*(1-S87),2)&amp;" СПБ"</f>
        <v>519 СПБ</v>
      </c>
      <c r="T23" s="114">
        <f>ROUND(PnC10_Pe065*Belarus*(1-T87),2)</f>
        <v>502</v>
      </c>
      <c r="U23" s="114">
        <f>ROUND(PnC10_Pe045*Belarus*(1-U87),2)</f>
        <v>346</v>
      </c>
      <c r="V23" s="114">
        <f>ROUND((PnC10_Pe045+18)*Belarus*(1-U87),2)</f>
        <v>364</v>
      </c>
      <c r="W23" s="87">
        <f>ROUND(PnC10_Pe04*Belarus*(1-W87),2)</f>
        <v>321</v>
      </c>
      <c r="X23" s="90">
        <f>ROUND(PnC10_dachPr*Belarus*(1-X87),2)</f>
        <v>274</v>
      </c>
    </row>
    <row r="24" spans="1:24" ht="38.25">
      <c r="A24" s="161" t="s">
        <v>102</v>
      </c>
      <c r="B24" s="162" t="s">
        <v>553</v>
      </c>
      <c r="C24" s="90" t="s">
        <v>387</v>
      </c>
      <c r="D24" s="87">
        <f>ROUND(PnC20_Ptdp*Belarus*(1-D85),2)</f>
        <v>718</v>
      </c>
      <c r="E24" s="87">
        <f>ROUND(PnC20_Pt*Belarus*(1-D85),2)</f>
        <v>595</v>
      </c>
      <c r="F24" s="87">
        <f>ROUND(PnC20_Sf*Belarus*(1-D85),2)</f>
        <v>622</v>
      </c>
      <c r="G24" s="90">
        <f>ROUND(PnC20_Q*Belarus*(1-G85),2)</f>
        <v>655</v>
      </c>
      <c r="H24" s="90">
        <f>ROUND(PnC20_Ql*Belarus*(1-G85),2)</f>
        <v>555</v>
      </c>
      <c r="I24" s="1129">
        <f>ROUND(PnC20_Vel*Belarus*(1-G85),2)</f>
        <v>544</v>
      </c>
      <c r="J24" s="90">
        <f>ROUND(PnC20_Atl*Belarus*(1-G85),2)</f>
        <v>522</v>
      </c>
      <c r="K24" s="87">
        <f>ROUND(PnC20_Pur*Belarus*(1-K85),2)</f>
        <v>740</v>
      </c>
      <c r="L24" s="87">
        <f>ROUND(PnC20_Pdx*Belarus*(1-L85),2)</f>
        <v>491</v>
      </c>
      <c r="M24" s="87">
        <f>ROUND(PnC20_Pdxmatt*Belarus*(1-M85),2)</f>
        <v>501</v>
      </c>
      <c r="N24" s="87">
        <f>ROUND(PnC20_StBarhat*Belarus*(1-N85),2)</f>
        <v>467</v>
      </c>
      <c r="O24" s="90" t="str">
        <f>ROUND(PnC20_PtNN*Belarus*(1-O85),2)&amp;" НН"</f>
        <v>524 НН</v>
      </c>
      <c r="P24" s="90">
        <f>ROUND(PnC20_Dr*Belarus*(1-P87),2)</f>
        <v>408</v>
      </c>
      <c r="Q24" s="90">
        <f>ROUND(PnC20_Sat*Belarus*(1-Q87),2)</f>
        <v>387</v>
      </c>
      <c r="R24" s="114" t="s">
        <v>369</v>
      </c>
      <c r="S24" s="114">
        <f>ROUND(PnC20_Pe07*Belarus*(1-S87),2)</f>
        <v>545</v>
      </c>
      <c r="T24" s="114">
        <f>ROUND(PnC20_Pe065*Belarus*(1-T87),2)</f>
        <v>511</v>
      </c>
      <c r="U24" s="114">
        <f>ROUND(PnC20_Pe045*Belarus*(1-U87),2)</f>
        <v>353</v>
      </c>
      <c r="V24" s="114">
        <f>ROUND((PnC20_Pe045+18)*Belarus*(1-U87),2)</f>
        <v>371</v>
      </c>
      <c r="W24" s="87">
        <f>ROUND(PnC20_Pe04*Belarus*(1-W87),2)</f>
        <v>328</v>
      </c>
      <c r="X24" s="90">
        <f>ROUND(PnC20_dachPr*Belarus*(1-X87),2)</f>
        <v>279</v>
      </c>
    </row>
    <row r="25" spans="1:24">
      <c r="A25" s="157" t="s">
        <v>106</v>
      </c>
      <c r="B25" s="90" t="s">
        <v>554</v>
      </c>
      <c r="C25" s="90" t="s">
        <v>392</v>
      </c>
      <c r="D25" s="87">
        <f>ROUND(PnC21_Ptdp*Belarus*(1-D85),2)</f>
        <v>786</v>
      </c>
      <c r="E25" s="87">
        <f>ROUND(PnC21_Pt*Belarus*(1-D85),2)</f>
        <v>651</v>
      </c>
      <c r="F25" s="87">
        <f>ROUND(PnC21_Sf*Belarus*(1-D85),2)</f>
        <v>681</v>
      </c>
      <c r="G25" s="90">
        <f>ROUND(PnC21_Q*Belarus*(1-G85),2)</f>
        <v>717</v>
      </c>
      <c r="H25" s="90">
        <f>ROUND(PnC21_Ql*Belarus*(1-G85),2)</f>
        <v>607</v>
      </c>
      <c r="I25" s="1129">
        <f>ROUND(PnC21_Vel*Belarus*(1-G85),2)</f>
        <v>595</v>
      </c>
      <c r="J25" s="90">
        <f>ROUND(PnC21_Atl*Belarus*(1-G85),2)</f>
        <v>571</v>
      </c>
      <c r="K25" s="87">
        <f>ROUND(PnC21_Pur*Belarus*(1-K85),2)</f>
        <v>810</v>
      </c>
      <c r="L25" s="87">
        <f>ROUND(PnC21_Pdx*Belarus*(1-L85),2)</f>
        <v>538</v>
      </c>
      <c r="M25" s="87">
        <f>ROUND(PnC21_Pdxmatt*Belarus*(1-M85),2)</f>
        <v>548</v>
      </c>
      <c r="N25" s="87">
        <f>ROUND(PnC21_StBarhat*Belarus*(1-N85),2)</f>
        <v>511</v>
      </c>
      <c r="O25" s="90" t="str">
        <f>ROUND(PnC21_PtNN*Belarus*(1-O85),2)&amp;" НН"</f>
        <v>576 НН</v>
      </c>
      <c r="P25" s="90">
        <f>ROUND(PnC21_Dr*Belarus*(1-P87),2)</f>
        <v>446</v>
      </c>
      <c r="Q25" s="90">
        <f>ROUND(PnC21_Sat*Belarus*(1-Q87),2)</f>
        <v>424</v>
      </c>
      <c r="R25" s="114" t="s">
        <v>369</v>
      </c>
      <c r="S25" s="114">
        <f>ROUND(PnC21_Pe07*Belarus*(1-S87),2)</f>
        <v>596</v>
      </c>
      <c r="T25" s="114">
        <f>ROUND(PnC21_Pe065*Belarus*(1-T87),2)</f>
        <v>559</v>
      </c>
      <c r="U25" s="114">
        <f>ROUND(PnC21_Pe045*Belarus*(1-U87),2)</f>
        <v>386</v>
      </c>
      <c r="V25" s="114">
        <f>ROUND((PnC21_Pe045+18)*Belarus*(1-U87),2)</f>
        <v>404</v>
      </c>
      <c r="W25" s="87">
        <f>ROUND(PnC21_Pe04*Belarus*(1-W87),2)</f>
        <v>359</v>
      </c>
      <c r="X25" s="90">
        <f>ROUND(PnC21_dachPr*Belarus*(1-X87),2)</f>
        <v>305</v>
      </c>
    </row>
    <row r="26" spans="1:24" ht="29.25" customHeight="1">
      <c r="A26" s="462" t="s">
        <v>110</v>
      </c>
      <c r="B26" s="158" t="s">
        <v>555</v>
      </c>
      <c r="C26" s="158" t="s">
        <v>392</v>
      </c>
      <c r="D26" s="94">
        <f>ROUND(PnHC35_Ptdp*Belarus*(1-D85),2)</f>
        <v>785</v>
      </c>
      <c r="E26" s="342" t="str">
        <f>ROUND(PnHC35_Pt*Belarus*(1-D85),2)&amp;" СПБ"</f>
        <v>650 СПБ</v>
      </c>
      <c r="F26" s="94">
        <f>ROUND(PnHC35_Sf*Belarus*(1-D85),2)</f>
        <v>680</v>
      </c>
      <c r="G26" s="90">
        <f>ROUND(PnHC35_Q*Belarus*(1-G85),2)</f>
        <v>716</v>
      </c>
      <c r="H26" s="90">
        <f>ROUND(PnHC35_Ql*Belarus*(1-G85),2)</f>
        <v>606</v>
      </c>
      <c r="I26" s="1129">
        <f>ROUND(PnHC35_Vel*Belarus*(1-G85),2)</f>
        <v>594</v>
      </c>
      <c r="J26" s="158">
        <f>ROUND(PnHC35_Atl*Belarus*(1-G85),2)</f>
        <v>570</v>
      </c>
      <c r="K26" s="94">
        <f>ROUND(PnHC35_Pur*Belarus*(1-K85),2)</f>
        <v>809</v>
      </c>
      <c r="L26" s="94">
        <f>ROUND(PnHC35_Pdx*Belarus*(1-L85),2)</f>
        <v>537</v>
      </c>
      <c r="M26" s="94">
        <f>ROUND(PnHC35_Pdxmatt*Belarus*(1-M85),2)</f>
        <v>547</v>
      </c>
      <c r="N26" s="94">
        <f>ROUND(PnHC35_StBarhat*Belarus*(1-N85),2)</f>
        <v>510</v>
      </c>
      <c r="O26" s="158" t="s">
        <v>369</v>
      </c>
      <c r="P26" s="158">
        <f>ROUND(PnHC35_Dr*Belarus*(1-P87),2)</f>
        <v>445</v>
      </c>
      <c r="Q26" s="158">
        <f>ROUND(PnHC35_Sat*Belarus*(1-Q87),2)</f>
        <v>423</v>
      </c>
      <c r="R26" s="1164">
        <f>ROUND(PnHC35_Pe08*Belarus*(1-R87),2)</f>
        <v>653</v>
      </c>
      <c r="S26" s="1164">
        <f>ROUND(PnHC35_Pe07*Belarus*(1-S87),2)</f>
        <v>592</v>
      </c>
      <c r="T26" s="1164">
        <f>ROUND(PnHC35_Pe065*Belarus*(1-T87),2)</f>
        <v>553</v>
      </c>
      <c r="U26" s="1165" t="str">
        <f>ROUND(PnHC35_Pe045*Belarus*(1-U87),2)&amp;" СПБ"</f>
        <v>385 СПБ</v>
      </c>
      <c r="V26" s="1165" t="str">
        <f>ROUND((PnHC35_Pe045+18)*Belarus*(1-U87),2)&amp;" СПБ"</f>
        <v>403 СПБ</v>
      </c>
      <c r="W26" s="1164" t="s">
        <v>369</v>
      </c>
      <c r="X26" s="158" t="s">
        <v>369</v>
      </c>
    </row>
    <row r="27" spans="1:24">
      <c r="A27" s="456" t="s">
        <v>666</v>
      </c>
      <c r="B27" s="457"/>
      <c r="C27" s="457"/>
      <c r="D27" s="457"/>
      <c r="E27" s="457"/>
      <c r="F27" s="457"/>
      <c r="G27" s="457"/>
      <c r="H27" s="457"/>
      <c r="I27" s="457"/>
      <c r="J27" s="457"/>
      <c r="K27" s="457"/>
      <c r="L27" s="457"/>
      <c r="M27" s="457"/>
      <c r="N27" s="457"/>
      <c r="O27" s="457"/>
      <c r="P27" s="457"/>
      <c r="Q27" s="457"/>
      <c r="R27" s="457"/>
      <c r="S27" s="457"/>
      <c r="T27" s="457"/>
      <c r="U27" s="457"/>
      <c r="V27" s="457"/>
      <c r="W27" s="457"/>
      <c r="X27" s="458"/>
    </row>
    <row r="28" spans="1:24" ht="12" customHeight="1">
      <c r="A28" s="1697" t="s">
        <v>307</v>
      </c>
      <c r="B28" s="1697" t="s">
        <v>667</v>
      </c>
      <c r="C28" s="1697"/>
      <c r="D28" s="1378" t="s">
        <v>286</v>
      </c>
      <c r="E28" s="1379"/>
      <c r="F28" s="1379"/>
      <c r="G28" s="1379"/>
      <c r="H28" s="1379"/>
      <c r="I28" s="1379"/>
      <c r="J28" s="1379"/>
      <c r="K28" s="1379"/>
      <c r="L28" s="1379"/>
      <c r="M28" s="1379"/>
      <c r="N28" s="1379"/>
      <c r="O28" s="1379"/>
      <c r="P28" s="1379"/>
      <c r="Q28" s="1379"/>
      <c r="R28" s="1379"/>
      <c r="S28" s="1379"/>
      <c r="T28" s="1380"/>
      <c r="U28" s="1351" t="s">
        <v>2498</v>
      </c>
      <c r="V28" s="1351"/>
      <c r="W28" s="1351"/>
      <c r="X28" s="1351"/>
    </row>
    <row r="29" spans="1:24" ht="26.25" customHeight="1">
      <c r="A29" s="1697"/>
      <c r="B29" s="1697"/>
      <c r="C29" s="1697"/>
      <c r="D29" s="234" t="s">
        <v>670</v>
      </c>
      <c r="E29" s="234" t="s">
        <v>668</v>
      </c>
      <c r="F29" s="464" t="s">
        <v>329</v>
      </c>
      <c r="G29" s="824" t="s">
        <v>669</v>
      </c>
      <c r="H29" s="824" t="s">
        <v>331</v>
      </c>
      <c r="I29" s="824" t="s">
        <v>332</v>
      </c>
      <c r="J29" s="824" t="s">
        <v>333</v>
      </c>
      <c r="K29" s="463" t="s">
        <v>528</v>
      </c>
      <c r="L29" s="463" t="s">
        <v>625</v>
      </c>
      <c r="M29" s="463" t="s">
        <v>620</v>
      </c>
      <c r="N29" s="463" t="s">
        <v>5344</v>
      </c>
      <c r="O29" s="824" t="s">
        <v>2499</v>
      </c>
      <c r="P29" s="824" t="s">
        <v>334</v>
      </c>
      <c r="Q29" s="519" t="s">
        <v>335</v>
      </c>
      <c r="R29" s="168" t="s">
        <v>336</v>
      </c>
      <c r="S29" s="464" t="s">
        <v>671</v>
      </c>
      <c r="T29" s="234" t="s">
        <v>672</v>
      </c>
      <c r="U29" s="1351"/>
      <c r="V29" s="1351"/>
      <c r="W29" s="1351"/>
      <c r="X29" s="1351"/>
    </row>
    <row r="30" spans="1:24" ht="29.25" customHeight="1">
      <c r="A30" s="122" t="s">
        <v>2500</v>
      </c>
      <c r="B30" s="2324">
        <v>100</v>
      </c>
      <c r="C30" s="2324"/>
      <c r="D30" s="87">
        <f>ROUND($B$30*(IF($B$30&lt;625,2280,2280*1.15)/1000)*Belarus*(1-$D$88),2)</f>
        <v>228</v>
      </c>
      <c r="E30" s="87">
        <f>ROUND($B$30*(IF($B$30&lt;625,1800,1800*1.15)/1000)*Belarus*(1-$D$88),2)</f>
        <v>180</v>
      </c>
      <c r="F30" s="88">
        <f>ROUND($B$30*(IF($B$30&lt;625,1750,1750*1.15)/1000)*Belarus*(1-$D$88),2)</f>
        <v>175</v>
      </c>
      <c r="G30" s="90">
        <f>ROUND($B$30*(IF($B$30&lt;625,2006,2006*1.15)/1000)*Belarus*(1-$D$88),2)</f>
        <v>200.6</v>
      </c>
      <c r="H30" s="90">
        <f>ROUND($B$30*(IF($B$30&lt;625,1715,1715*1.15)/1000)*Belarus*(1-$D$88),2)</f>
        <v>171.5</v>
      </c>
      <c r="I30" s="90">
        <f>ROUND($B$30*(IF($B$30&lt;625,1597,1597*1.15)/1000)*Belarus*(1-$D$88),2)</f>
        <v>159.69999999999999</v>
      </c>
      <c r="J30" s="90">
        <f>ROUND($B$30*(IF($B$30&lt;625,1591,1591*1.15)/1000)*Belarus*(1-$D$88),2)</f>
        <v>159.1</v>
      </c>
      <c r="K30" s="91">
        <f>ROUND($B$30*(IF($B$30&lt;625,2470,2470*1.15)/1000)*Belarus*(1-$D$88),2)</f>
        <v>247</v>
      </c>
      <c r="L30" s="91">
        <f>ROUND($B$30*(IF($B$30&lt;625,1581,1581*1.15)/1000)*Belarus*(1-$D$88),2)</f>
        <v>158.1</v>
      </c>
      <c r="M30" s="91">
        <f>ROUND($B$30*(IF($B$30&lt;625,1591,1591*1.15)/1000)*Belarus*(1-$D$88),2)</f>
        <v>159.1</v>
      </c>
      <c r="N30" s="91">
        <f>ROUND($B$30*(IF($B$30&lt;625,1572,1572*1.15)/1000)*Belarus*(1-$D$88),2)</f>
        <v>157.19999999999999</v>
      </c>
      <c r="O30" s="90" t="str">
        <f>ROUND($B$30*(IF($B$30&lt;625,1700,1700*1.15)/1000)*Belarus*(1-$D$88),2)&amp;" НН"</f>
        <v>170 НН</v>
      </c>
      <c r="P30" s="90">
        <f>ROUND($B$30*(IF($B$30&lt;625,1564,1564*1.15)/1000)*Belarus*(1-$D$88),2)</f>
        <v>156.4</v>
      </c>
      <c r="Q30" s="721">
        <f>ROUND($B$30*(IF($B$30&lt;625,1553,1553*1.15)/1000)*Belarus*(1-$D$88),2)</f>
        <v>155.30000000000001</v>
      </c>
      <c r="R30" s="87">
        <f>ROUND($B$30*(IF($B$30&lt;625,1548,1548*1.15)/1000)*Belarus*(1-$D$88),2)</f>
        <v>154.80000000000001</v>
      </c>
      <c r="S30" s="87">
        <f>ROUND($B$30*(IF($B$30&lt;625,1833,1833*1.15)/1000)*Belarus*(1-$D$88),2)</f>
        <v>183.3</v>
      </c>
      <c r="T30" s="87">
        <f>ROUND($B$30*(IF($B$30&lt;625,1553,1553*1.15)/1000)*Belarus*(1-$D$88),2)</f>
        <v>155.30000000000001</v>
      </c>
      <c r="U30" s="1351"/>
      <c r="V30" s="1351"/>
      <c r="W30" s="1351"/>
      <c r="X30" s="1351"/>
    </row>
    <row r="31" spans="1:24">
      <c r="A31" s="52"/>
      <c r="B31" s="52"/>
      <c r="C31" s="52"/>
      <c r="D31" s="52"/>
      <c r="E31" s="52"/>
      <c r="F31" s="52"/>
      <c r="G31" s="52"/>
      <c r="H31" s="52"/>
      <c r="I31" s="52"/>
      <c r="J31" s="52"/>
      <c r="K31" s="52"/>
      <c r="L31" s="52"/>
      <c r="M31" s="52"/>
      <c r="N31" s="52"/>
      <c r="O31" s="52"/>
      <c r="P31" s="52"/>
      <c r="Q31" s="52"/>
      <c r="R31" s="52"/>
      <c r="S31" s="52"/>
      <c r="T31" s="52"/>
      <c r="U31" s="52"/>
      <c r="V31" s="52"/>
      <c r="W31" s="52"/>
      <c r="X31" s="52"/>
    </row>
    <row r="32" spans="1:24" ht="18">
      <c r="A32" s="1535" t="s">
        <v>575</v>
      </c>
      <c r="B32" s="1733"/>
      <c r="C32" s="1733"/>
      <c r="D32" s="1733"/>
      <c r="E32" s="1536"/>
      <c r="F32" s="1452" t="s">
        <v>769</v>
      </c>
      <c r="G32" s="1478"/>
      <c r="I32" s="2368" t="s">
        <v>2501</v>
      </c>
      <c r="J32" s="2368"/>
      <c r="K32" s="2368"/>
      <c r="L32" s="2368"/>
      <c r="M32" s="2368"/>
      <c r="N32" s="2368"/>
      <c r="O32" s="2368"/>
      <c r="P32" s="2368"/>
      <c r="Q32" s="2368"/>
      <c r="R32" s="2368"/>
      <c r="S32" s="2368"/>
      <c r="T32" s="2368"/>
      <c r="U32" s="2368"/>
      <c r="V32" s="2368"/>
      <c r="W32" s="2368"/>
      <c r="X32" s="2368"/>
    </row>
    <row r="33" spans="1:24" ht="12.75" customHeight="1">
      <c r="A33" s="1409" t="s">
        <v>590</v>
      </c>
      <c r="B33" s="1410"/>
      <c r="C33" s="1410"/>
      <c r="D33" s="1410"/>
      <c r="E33" s="1411"/>
      <c r="F33" s="1514">
        <f>1450*Belarus</f>
        <v>1450</v>
      </c>
      <c r="G33" s="1516"/>
      <c r="I33" s="2356" t="s">
        <v>2502</v>
      </c>
      <c r="J33" s="2357"/>
      <c r="K33" s="2357"/>
      <c r="L33" s="2357"/>
      <c r="M33" s="2358"/>
      <c r="N33" s="2356" t="s">
        <v>2503</v>
      </c>
      <c r="O33" s="2357"/>
      <c r="P33" s="2357"/>
      <c r="Q33" s="2357"/>
      <c r="R33" s="2357"/>
      <c r="S33" s="2357"/>
      <c r="T33" s="2358"/>
      <c r="U33" s="2356" t="s">
        <v>2504</v>
      </c>
      <c r="V33" s="2358"/>
      <c r="W33" s="2369" t="s">
        <v>2505</v>
      </c>
      <c r="X33" s="2370"/>
    </row>
    <row r="34" spans="1:24">
      <c r="A34" s="1409" t="s">
        <v>2506</v>
      </c>
      <c r="B34" s="1410"/>
      <c r="C34" s="1410"/>
      <c r="D34" s="1410"/>
      <c r="E34" s="1411"/>
      <c r="F34" s="1514">
        <f>5800*Belarus</f>
        <v>5800</v>
      </c>
      <c r="G34" s="1516"/>
      <c r="I34" s="2339" t="s">
        <v>2507</v>
      </c>
      <c r="J34" s="2339"/>
      <c r="K34" s="2339"/>
      <c r="L34" s="2339"/>
      <c r="M34" s="2339"/>
      <c r="N34" s="2339"/>
      <c r="O34" s="2339"/>
      <c r="P34" s="2339"/>
      <c r="Q34" s="2339"/>
      <c r="R34" s="2339"/>
      <c r="S34" s="2339"/>
      <c r="T34" s="2339"/>
      <c r="U34" s="2339"/>
      <c r="V34" s="2339"/>
      <c r="W34" s="2339"/>
      <c r="X34" s="2339"/>
    </row>
    <row r="35" spans="1:24" ht="15" customHeight="1">
      <c r="A35" s="1409" t="s">
        <v>779</v>
      </c>
      <c r="B35" s="1410"/>
      <c r="C35" s="1410"/>
      <c r="D35" s="1410"/>
      <c r="E35" s="1411"/>
      <c r="F35" s="1563">
        <f>360*Belarus</f>
        <v>360</v>
      </c>
      <c r="G35" s="1565"/>
      <c r="I35" s="2342" t="s">
        <v>2508</v>
      </c>
      <c r="J35" s="1429"/>
      <c r="K35" s="1429"/>
      <c r="L35" s="1429"/>
      <c r="M35" s="1430"/>
      <c r="N35" s="2347" t="s">
        <v>2509</v>
      </c>
      <c r="O35" s="2353"/>
      <c r="P35" s="2353"/>
      <c r="Q35" s="2353"/>
      <c r="R35" s="2353"/>
      <c r="S35" s="2353"/>
      <c r="T35" s="2348"/>
      <c r="U35" s="2341" t="s">
        <v>845</v>
      </c>
      <c r="V35" s="1430"/>
      <c r="W35" s="1916">
        <f>ROUND(8.1*Belarus*(1-D90),2)</f>
        <v>8.1</v>
      </c>
      <c r="X35" s="1917"/>
    </row>
    <row r="36" spans="1:24" ht="15">
      <c r="A36" s="1409" t="s">
        <v>2510</v>
      </c>
      <c r="B36" s="1410"/>
      <c r="C36" s="1410"/>
      <c r="D36" s="1410"/>
      <c r="E36" s="1411"/>
      <c r="F36" s="1514">
        <f>4*Belarus</f>
        <v>4</v>
      </c>
      <c r="G36" s="1516"/>
      <c r="I36" s="2342" t="s">
        <v>2511</v>
      </c>
      <c r="J36" s="1429"/>
      <c r="K36" s="1429"/>
      <c r="L36" s="1429"/>
      <c r="M36" s="1430"/>
      <c r="N36" s="2349"/>
      <c r="O36" s="2359"/>
      <c r="P36" s="2359"/>
      <c r="Q36" s="2359"/>
      <c r="R36" s="2359"/>
      <c r="S36" s="2359"/>
      <c r="T36" s="2350"/>
      <c r="U36" s="2341" t="s">
        <v>845</v>
      </c>
      <c r="V36" s="1430"/>
      <c r="W36" s="1916">
        <f>ROUND(9.8*Belarus*(1-D90),2)</f>
        <v>9.8000000000000007</v>
      </c>
      <c r="X36" s="1917"/>
    </row>
    <row r="37" spans="1:24" ht="15" customHeight="1">
      <c r="A37" s="1409" t="s">
        <v>2512</v>
      </c>
      <c r="B37" s="1410"/>
      <c r="C37" s="1410"/>
      <c r="D37" s="1410"/>
      <c r="E37" s="1411"/>
      <c r="F37" s="1514">
        <f>4*Belarus</f>
        <v>4</v>
      </c>
      <c r="G37" s="1516"/>
      <c r="I37" s="2342" t="s">
        <v>2513</v>
      </c>
      <c r="J37" s="1429"/>
      <c r="K37" s="1429"/>
      <c r="L37" s="1429"/>
      <c r="M37" s="1430"/>
      <c r="N37" s="2349"/>
      <c r="O37" s="2359"/>
      <c r="P37" s="2359"/>
      <c r="Q37" s="2359"/>
      <c r="R37" s="2359"/>
      <c r="S37" s="2359"/>
      <c r="T37" s="2350"/>
      <c r="U37" s="2341" t="s">
        <v>845</v>
      </c>
      <c r="V37" s="1430"/>
      <c r="W37" s="1916">
        <f>ROUND(10.4*Belarus*(1-D90),2)</f>
        <v>10.4</v>
      </c>
      <c r="X37" s="1917"/>
    </row>
    <row r="38" spans="1:24" ht="15">
      <c r="A38" s="1409" t="s">
        <v>704</v>
      </c>
      <c r="B38" s="1410"/>
      <c r="C38" s="1410"/>
      <c r="D38" s="1410"/>
      <c r="E38" s="1411"/>
      <c r="F38" s="1514">
        <f>95*Belarus</f>
        <v>95</v>
      </c>
      <c r="G38" s="1516"/>
      <c r="I38" s="2342" t="s">
        <v>2514</v>
      </c>
      <c r="J38" s="1429"/>
      <c r="K38" s="1429"/>
      <c r="L38" s="1429"/>
      <c r="M38" s="1430"/>
      <c r="N38" s="2349"/>
      <c r="O38" s="2359"/>
      <c r="P38" s="2359"/>
      <c r="Q38" s="2359"/>
      <c r="R38" s="2359"/>
      <c r="S38" s="2359"/>
      <c r="T38" s="2350"/>
      <c r="U38" s="2341" t="s">
        <v>845</v>
      </c>
      <c r="V38" s="1430"/>
      <c r="W38" s="1916">
        <f>ROUND(11.3*Belarus*(1-D90),2)</f>
        <v>11.3</v>
      </c>
      <c r="X38" s="2340"/>
    </row>
    <row r="39" spans="1:24" ht="15" customHeight="1">
      <c r="A39" s="1409" t="s">
        <v>2515</v>
      </c>
      <c r="B39" s="1410"/>
      <c r="C39" s="1410"/>
      <c r="D39" s="1410"/>
      <c r="E39" s="1411"/>
      <c r="F39" s="1514">
        <f>236*Belarus</f>
        <v>236</v>
      </c>
      <c r="G39" s="1516"/>
      <c r="I39" s="2342" t="s">
        <v>2516</v>
      </c>
      <c r="J39" s="1429"/>
      <c r="K39" s="1429"/>
      <c r="L39" s="1429"/>
      <c r="M39" s="1430"/>
      <c r="N39" s="2349"/>
      <c r="O39" s="2359"/>
      <c r="P39" s="2359"/>
      <c r="Q39" s="2359"/>
      <c r="R39" s="2359"/>
      <c r="S39" s="2359"/>
      <c r="T39" s="2350"/>
      <c r="U39" s="2341" t="s">
        <v>845</v>
      </c>
      <c r="V39" s="1430"/>
      <c r="W39" s="1916">
        <f>ROUND(12.8*Belarus*(1-D90),2)</f>
        <v>12.8</v>
      </c>
      <c r="X39" s="2340"/>
    </row>
    <row r="40" spans="1:24" ht="15" customHeight="1">
      <c r="A40" s="2371" t="s">
        <v>2517</v>
      </c>
      <c r="B40" s="2372"/>
      <c r="C40" s="2372"/>
      <c r="D40" s="2372"/>
      <c r="E40" s="2373"/>
      <c r="F40" s="2360">
        <f>160*Belarus</f>
        <v>160</v>
      </c>
      <c r="G40" s="2361"/>
      <c r="I40" s="2342" t="s">
        <v>2518</v>
      </c>
      <c r="J40" s="1429"/>
      <c r="K40" s="1429"/>
      <c r="L40" s="1429"/>
      <c r="M40" s="1430"/>
      <c r="N40" s="2349"/>
      <c r="O40" s="2359"/>
      <c r="P40" s="2359"/>
      <c r="Q40" s="2359"/>
      <c r="R40" s="2359"/>
      <c r="S40" s="2359"/>
      <c r="T40" s="2350"/>
      <c r="U40" s="2341" t="s">
        <v>845</v>
      </c>
      <c r="V40" s="1430"/>
      <c r="W40" s="1916">
        <f>ROUND(14.4*Belarus*(1-D90),2)</f>
        <v>14.4</v>
      </c>
      <c r="X40" s="2340"/>
    </row>
    <row r="41" spans="1:24" ht="15">
      <c r="A41" s="2374"/>
      <c r="B41" s="2375"/>
      <c r="C41" s="2375"/>
      <c r="D41" s="2375"/>
      <c r="E41" s="2376"/>
      <c r="F41" s="2362"/>
      <c r="G41" s="2363"/>
      <c r="I41" s="2342" t="s">
        <v>2519</v>
      </c>
      <c r="J41" s="1429"/>
      <c r="K41" s="1429"/>
      <c r="L41" s="1429"/>
      <c r="M41" s="1430"/>
      <c r="N41" s="2351"/>
      <c r="O41" s="2354"/>
      <c r="P41" s="2354"/>
      <c r="Q41" s="2354"/>
      <c r="R41" s="2354"/>
      <c r="S41" s="2354"/>
      <c r="T41" s="2352"/>
      <c r="U41" s="2341" t="s">
        <v>845</v>
      </c>
      <c r="V41" s="1430"/>
      <c r="W41" s="1916">
        <f>ROUND(15.4*Belarus*(1-D90),2)</f>
        <v>15.4</v>
      </c>
      <c r="X41" s="2340"/>
    </row>
    <row r="42" spans="1:24" ht="12.75" customHeight="1">
      <c r="A42" s="1351" t="s">
        <v>6533</v>
      </c>
      <c r="B42" s="1351"/>
      <c r="C42" s="1351"/>
      <c r="D42" s="1351"/>
      <c r="E42" s="1351"/>
      <c r="F42" s="1295">
        <f>15*Belarus</f>
        <v>15</v>
      </c>
      <c r="G42" s="1295"/>
      <c r="I42" s="2378" t="s">
        <v>2520</v>
      </c>
      <c r="J42" s="2379"/>
      <c r="K42" s="2379"/>
      <c r="L42" s="2379"/>
      <c r="M42" s="2379"/>
      <c r="N42" s="2379"/>
      <c r="O42" s="2379"/>
      <c r="P42" s="2379"/>
      <c r="Q42" s="2379"/>
      <c r="R42" s="2379"/>
      <c r="S42" s="2379"/>
      <c r="T42" s="2379"/>
      <c r="U42" s="2379"/>
      <c r="V42" s="2379"/>
      <c r="W42" s="2379"/>
      <c r="X42" s="2380"/>
    </row>
    <row r="43" spans="1:24" ht="12.75" customHeight="1">
      <c r="A43" s="1351"/>
      <c r="B43" s="1351"/>
      <c r="C43" s="1351"/>
      <c r="D43" s="1351"/>
      <c r="E43" s="1351"/>
      <c r="F43" s="1295"/>
      <c r="G43" s="1295"/>
      <c r="I43" s="2381"/>
      <c r="J43" s="2382"/>
      <c r="K43" s="2382"/>
      <c r="L43" s="2382"/>
      <c r="M43" s="2382"/>
      <c r="N43" s="2382"/>
      <c r="O43" s="2382"/>
      <c r="P43" s="2382"/>
      <c r="Q43" s="2382"/>
      <c r="R43" s="2382"/>
      <c r="S43" s="2382"/>
      <c r="T43" s="2382"/>
      <c r="U43" s="2382"/>
      <c r="V43" s="2382"/>
      <c r="W43" s="2382"/>
      <c r="X43" s="2383"/>
    </row>
    <row r="44" spans="1:24" ht="15" customHeight="1">
      <c r="A44" s="1409" t="s">
        <v>6534</v>
      </c>
      <c r="B44" s="1410"/>
      <c r="C44" s="1410"/>
      <c r="D44" s="1410"/>
      <c r="E44" s="1411"/>
      <c r="F44" s="1514">
        <f>8*Belarus</f>
        <v>8</v>
      </c>
      <c r="G44" s="1516"/>
      <c r="I44" s="2342" t="s">
        <v>2521</v>
      </c>
      <c r="J44" s="1429"/>
      <c r="K44" s="1429"/>
      <c r="L44" s="1429"/>
      <c r="M44" s="1430"/>
      <c r="N44" s="2347" t="s">
        <v>2522</v>
      </c>
      <c r="O44" s="2353"/>
      <c r="P44" s="2353"/>
      <c r="Q44" s="2353"/>
      <c r="R44" s="2353"/>
      <c r="S44" s="2353"/>
      <c r="T44" s="2348"/>
      <c r="U44" s="2341" t="s">
        <v>845</v>
      </c>
      <c r="V44" s="1430"/>
      <c r="W44" s="1916">
        <f>ROUND(21.8*Belarus*(1-D90),2)</f>
        <v>21.8</v>
      </c>
      <c r="X44" s="2340"/>
    </row>
    <row r="45" spans="1:24" ht="15">
      <c r="A45" s="1491" t="s">
        <v>198</v>
      </c>
      <c r="B45" s="1491"/>
      <c r="C45" s="1491"/>
      <c r="D45" s="1491"/>
      <c r="E45" s="1491"/>
      <c r="F45" s="2377" t="s">
        <v>716</v>
      </c>
      <c r="G45" s="2377"/>
      <c r="I45" s="2342" t="s">
        <v>2523</v>
      </c>
      <c r="J45" s="1429"/>
      <c r="K45" s="1429"/>
      <c r="L45" s="1429"/>
      <c r="M45" s="1430"/>
      <c r="N45" s="2349"/>
      <c r="O45" s="2359"/>
      <c r="P45" s="2359"/>
      <c r="Q45" s="2359"/>
      <c r="R45" s="2359"/>
      <c r="S45" s="2359"/>
      <c r="T45" s="2350"/>
      <c r="U45" s="2341" t="s">
        <v>845</v>
      </c>
      <c r="V45" s="1430"/>
      <c r="W45" s="1916">
        <f>ROUND(24.8*Belarus*(1-D90),2)</f>
        <v>24.8</v>
      </c>
      <c r="X45" s="2340"/>
    </row>
    <row r="46" spans="1:24" ht="15" customHeight="1">
      <c r="A46" s="2336" t="s">
        <v>717</v>
      </c>
      <c r="B46" s="2336"/>
      <c r="C46" s="2336"/>
      <c r="D46" s="2336"/>
      <c r="E46" s="1740"/>
      <c r="F46" s="995" t="str">
        <f>464*Belarus&amp;" Обн"</f>
        <v>464 Обн</v>
      </c>
      <c r="G46" s="178" t="str">
        <f>445*Belarus&amp;" СПб"</f>
        <v>445 СПб</v>
      </c>
      <c r="I46" s="2342" t="s">
        <v>2524</v>
      </c>
      <c r="J46" s="1429"/>
      <c r="K46" s="1429"/>
      <c r="L46" s="1429"/>
      <c r="M46" s="1430"/>
      <c r="N46" s="2349"/>
      <c r="O46" s="2359"/>
      <c r="P46" s="2359"/>
      <c r="Q46" s="2359"/>
      <c r="R46" s="2359"/>
      <c r="S46" s="2359"/>
      <c r="T46" s="2350"/>
      <c r="U46" s="2341" t="s">
        <v>845</v>
      </c>
      <c r="V46" s="1430"/>
      <c r="W46" s="1916">
        <f>ROUND(27.8*Belarus*(1-D90),2)</f>
        <v>27.8</v>
      </c>
      <c r="X46" s="2340"/>
    </row>
    <row r="47" spans="1:24" ht="15" customHeight="1">
      <c r="A47" s="2337"/>
      <c r="B47" s="2337"/>
      <c r="C47" s="2337"/>
      <c r="D47" s="2337"/>
      <c r="E47" s="2338"/>
      <c r="F47" s="995" t="str">
        <f>424*Belarus&amp;" Врн"</f>
        <v>424 Врн</v>
      </c>
      <c r="G47" s="178" t="str">
        <f>385*Belarus&amp;" НН"</f>
        <v>385 НН</v>
      </c>
      <c r="I47" s="2342" t="s">
        <v>2525</v>
      </c>
      <c r="J47" s="1429"/>
      <c r="K47" s="1429"/>
      <c r="L47" s="1429"/>
      <c r="M47" s="1430"/>
      <c r="N47" s="2351"/>
      <c r="O47" s="2354"/>
      <c r="P47" s="2354"/>
      <c r="Q47" s="2354"/>
      <c r="R47" s="2354"/>
      <c r="S47" s="2354"/>
      <c r="T47" s="2352"/>
      <c r="U47" s="2341" t="s">
        <v>845</v>
      </c>
      <c r="V47" s="1430"/>
      <c r="W47" s="1916">
        <f>ROUND(30.8*Belarus*(1-D90),2)</f>
        <v>30.8</v>
      </c>
      <c r="X47" s="2340"/>
    </row>
    <row r="48" spans="1:24">
      <c r="A48" s="2336" t="s">
        <v>718</v>
      </c>
      <c r="B48" s="2336"/>
      <c r="C48" s="2336"/>
      <c r="D48" s="2336"/>
      <c r="E48" s="1740"/>
      <c r="F48" s="995" t="str">
        <f>696*Belarus&amp;" Обн"</f>
        <v>696 Обн</v>
      </c>
      <c r="G48" s="178" t="str">
        <f>667*Belarus&amp;" СПб"</f>
        <v>667 СПб</v>
      </c>
      <c r="I48" s="2339" t="s">
        <v>2526</v>
      </c>
      <c r="J48" s="2339"/>
      <c r="K48" s="2339"/>
      <c r="L48" s="2339"/>
      <c r="M48" s="2339"/>
      <c r="N48" s="2339"/>
      <c r="O48" s="2339"/>
      <c r="P48" s="2339"/>
      <c r="Q48" s="2339"/>
      <c r="R48" s="2339"/>
      <c r="S48" s="2339"/>
      <c r="T48" s="2339"/>
      <c r="U48" s="2339"/>
      <c r="V48" s="2339"/>
      <c r="W48" s="2339"/>
      <c r="X48" s="2339"/>
    </row>
    <row r="49" spans="1:24" ht="15" customHeight="1">
      <c r="A49" s="2337"/>
      <c r="B49" s="2337"/>
      <c r="C49" s="2337"/>
      <c r="D49" s="2337"/>
      <c r="E49" s="2338"/>
      <c r="F49" s="995" t="str">
        <f>636*Belarus&amp;" Врн"</f>
        <v>636 Врн</v>
      </c>
      <c r="G49" s="178" t="str">
        <f>578*Belarus&amp;" НН"</f>
        <v>578 НН</v>
      </c>
      <c r="I49" s="2342" t="s">
        <v>2527</v>
      </c>
      <c r="J49" s="1429"/>
      <c r="K49" s="1429"/>
      <c r="L49" s="1429"/>
      <c r="M49" s="1430"/>
      <c r="N49" s="2347" t="s">
        <v>2528</v>
      </c>
      <c r="O49" s="2353"/>
      <c r="P49" s="2353"/>
      <c r="Q49" s="2353"/>
      <c r="R49" s="2353"/>
      <c r="S49" s="2353"/>
      <c r="T49" s="2348"/>
      <c r="U49" s="2341" t="s">
        <v>1096</v>
      </c>
      <c r="V49" s="1430"/>
      <c r="W49" s="1916">
        <f>ROUND(53.5*Belarus*(1-D90),2)</f>
        <v>53.5</v>
      </c>
      <c r="X49" s="2340"/>
    </row>
    <row r="50" spans="1:24">
      <c r="A50" s="1491" t="s">
        <v>2529</v>
      </c>
      <c r="B50" s="1491"/>
      <c r="C50" s="1491"/>
      <c r="D50" s="1491"/>
      <c r="E50" s="1491"/>
      <c r="F50" s="2343" t="s">
        <v>769</v>
      </c>
      <c r="G50" s="2344"/>
      <c r="I50" s="2342" t="s">
        <v>2530</v>
      </c>
      <c r="J50" s="2345"/>
      <c r="K50" s="2345"/>
      <c r="L50" s="2345"/>
      <c r="M50" s="2346"/>
      <c r="N50" s="2351"/>
      <c r="O50" s="2354"/>
      <c r="P50" s="2354"/>
      <c r="Q50" s="2354"/>
      <c r="R50" s="2354"/>
      <c r="S50" s="2354"/>
      <c r="T50" s="2352"/>
      <c r="U50" s="2341" t="s">
        <v>1096</v>
      </c>
      <c r="V50" s="2355"/>
      <c r="W50" s="1916">
        <f>ROUND(71.1*Belarus*(1-D90),2)</f>
        <v>71.099999999999994</v>
      </c>
      <c r="X50" s="2340"/>
    </row>
    <row r="51" spans="1:24">
      <c r="A51" s="1296" t="s">
        <v>2531</v>
      </c>
      <c r="B51" s="1296"/>
      <c r="C51" s="1296"/>
      <c r="D51" s="1296"/>
      <c r="E51" s="1296"/>
      <c r="F51" s="1295">
        <f>ROUND(1.75*Belarus*(1-D89),2)</f>
        <v>1.75</v>
      </c>
      <c r="G51" s="1295"/>
      <c r="I51" s="2339" t="s">
        <v>2532</v>
      </c>
      <c r="J51" s="2339"/>
      <c r="K51" s="2339"/>
      <c r="L51" s="2339"/>
      <c r="M51" s="2339"/>
      <c r="N51" s="2339"/>
      <c r="O51" s="2339"/>
      <c r="P51" s="2339"/>
      <c r="Q51" s="2339"/>
      <c r="R51" s="2339"/>
      <c r="S51" s="2339"/>
      <c r="T51" s="2339"/>
      <c r="U51" s="2339"/>
      <c r="V51" s="2339"/>
      <c r="W51" s="2339"/>
      <c r="X51" s="2339"/>
    </row>
    <row r="52" spans="1:24" ht="12.75" customHeight="1">
      <c r="A52" s="1296" t="s">
        <v>2533</v>
      </c>
      <c r="B52" s="1296"/>
      <c r="C52" s="1296"/>
      <c r="D52" s="1296"/>
      <c r="E52" s="1296"/>
      <c r="F52" s="1295">
        <f>ROUND(1.8*Belarus*(1-D89),2)</f>
        <v>1.8</v>
      </c>
      <c r="G52" s="1295"/>
      <c r="I52" s="2342" t="s">
        <v>2534</v>
      </c>
      <c r="J52" s="2345"/>
      <c r="K52" s="2345"/>
      <c r="L52" s="2345"/>
      <c r="M52" s="2346"/>
      <c r="N52" s="2347" t="s">
        <v>2535</v>
      </c>
      <c r="O52" s="2353"/>
      <c r="P52" s="2353"/>
      <c r="Q52" s="2353"/>
      <c r="R52" s="2353"/>
      <c r="S52" s="2353"/>
      <c r="T52" s="2348"/>
      <c r="U52" s="2347" t="s">
        <v>845</v>
      </c>
      <c r="V52" s="2348"/>
      <c r="W52" s="1916">
        <f>ROUND(1.5*Belarus*(1-D90),2)</f>
        <v>1.5</v>
      </c>
      <c r="X52" s="1917"/>
    </row>
    <row r="53" spans="1:24" ht="15">
      <c r="A53" s="1296" t="s">
        <v>2536</v>
      </c>
      <c r="B53" s="1296"/>
      <c r="C53" s="1296"/>
      <c r="D53" s="1296"/>
      <c r="E53" s="1296"/>
      <c r="F53" s="1295">
        <f>ROUND(2.09*Belarus*(1-D89),2)</f>
        <v>2.09</v>
      </c>
      <c r="G53" s="1295"/>
      <c r="I53" s="2342" t="s">
        <v>2537</v>
      </c>
      <c r="J53" s="1429"/>
      <c r="K53" s="1429"/>
      <c r="L53" s="1429"/>
      <c r="M53" s="1430"/>
      <c r="N53" s="2349"/>
      <c r="O53" s="2359"/>
      <c r="P53" s="2359"/>
      <c r="Q53" s="2359"/>
      <c r="R53" s="2359"/>
      <c r="S53" s="2359"/>
      <c r="T53" s="2350"/>
      <c r="U53" s="2349"/>
      <c r="V53" s="2350"/>
      <c r="W53" s="1916">
        <f>ROUND(4.2*Belarus*(1-D90),2)</f>
        <v>4.2</v>
      </c>
      <c r="X53" s="1917"/>
    </row>
    <row r="54" spans="1:24" ht="15">
      <c r="A54" s="1296" t="s">
        <v>2538</v>
      </c>
      <c r="B54" s="1296"/>
      <c r="C54" s="1296"/>
      <c r="D54" s="1296"/>
      <c r="E54" s="1296"/>
      <c r="F54" s="1295">
        <f>ROUND(1.35*Belarus*(1-D89),2)</f>
        <v>1.35</v>
      </c>
      <c r="G54" s="1295"/>
      <c r="I54" s="2342" t="s">
        <v>2539</v>
      </c>
      <c r="J54" s="1429"/>
      <c r="K54" s="1429"/>
      <c r="L54" s="1429"/>
      <c r="M54" s="1430"/>
      <c r="N54" s="2351"/>
      <c r="O54" s="2354"/>
      <c r="P54" s="2354"/>
      <c r="Q54" s="2354"/>
      <c r="R54" s="2354"/>
      <c r="S54" s="2354"/>
      <c r="T54" s="2352"/>
      <c r="U54" s="2351"/>
      <c r="V54" s="2352"/>
      <c r="W54" s="1916">
        <f>ROUND(8.2*Belarus*(1-D90),2)</f>
        <v>8.1999999999999993</v>
      </c>
      <c r="X54" s="1917"/>
    </row>
    <row r="55" spans="1:24">
      <c r="A55" s="1296" t="s">
        <v>3785</v>
      </c>
      <c r="B55" s="1296"/>
      <c r="C55" s="1296"/>
      <c r="D55" s="1296"/>
      <c r="E55" s="1296"/>
      <c r="F55" s="1295">
        <f>ROUND(1.53*Belarus*(1-D89),2)</f>
        <v>1.53</v>
      </c>
      <c r="G55" s="1295"/>
      <c r="I55" s="2339" t="s">
        <v>2540</v>
      </c>
      <c r="J55" s="2339"/>
      <c r="K55" s="2339"/>
      <c r="L55" s="2339"/>
      <c r="M55" s="2339"/>
      <c r="N55" s="2339"/>
      <c r="O55" s="2339"/>
      <c r="P55" s="2339"/>
      <c r="Q55" s="2339"/>
      <c r="R55" s="2339"/>
      <c r="S55" s="2339"/>
      <c r="T55" s="2339"/>
      <c r="U55" s="2339"/>
      <c r="V55" s="2339"/>
      <c r="W55" s="2339"/>
      <c r="X55" s="2339"/>
    </row>
    <row r="56" spans="1:24" ht="15" customHeight="1">
      <c r="A56" s="1296" t="s">
        <v>2541</v>
      </c>
      <c r="B56" s="1296"/>
      <c r="C56" s="1296"/>
      <c r="D56" s="1296"/>
      <c r="E56" s="1296"/>
      <c r="F56" s="1295">
        <f>ROUND(1.74*Belarus*(1-D89),2)</f>
        <v>1.74</v>
      </c>
      <c r="G56" s="1295"/>
      <c r="I56" s="2342" t="s">
        <v>2542</v>
      </c>
      <c r="J56" s="2345"/>
      <c r="K56" s="2345"/>
      <c r="L56" s="2345"/>
      <c r="M56" s="2346"/>
      <c r="N56" s="2384" t="s">
        <v>2543</v>
      </c>
      <c r="O56" s="2384"/>
      <c r="P56" s="2384"/>
      <c r="Q56" s="2384"/>
      <c r="R56" s="2384"/>
      <c r="S56" s="2384"/>
      <c r="T56" s="2384"/>
      <c r="U56" s="2341" t="s">
        <v>2544</v>
      </c>
      <c r="V56" s="1430"/>
      <c r="W56" s="1916">
        <f>ROUND(18*Belarus*(1-D90),2)</f>
        <v>18</v>
      </c>
      <c r="X56" s="1917"/>
    </row>
    <row r="57" spans="1:24">
      <c r="A57" s="1351" t="s">
        <v>802</v>
      </c>
      <c r="B57" s="1351"/>
      <c r="C57" s="1351"/>
      <c r="D57" s="1351"/>
      <c r="E57" s="1351"/>
      <c r="F57" s="1351"/>
      <c r="G57" s="1351"/>
    </row>
    <row r="58" spans="1:24" s="54" customFormat="1" ht="12.75" customHeight="1">
      <c r="A58" s="1491" t="s">
        <v>2545</v>
      </c>
      <c r="B58" s="1491"/>
      <c r="C58" s="1491"/>
      <c r="D58" s="1491"/>
      <c r="E58" s="1491"/>
      <c r="F58" s="1491"/>
      <c r="G58" s="1491"/>
      <c r="I58" s="2356" t="s">
        <v>2546</v>
      </c>
      <c r="J58" s="2357"/>
      <c r="K58" s="2357"/>
      <c r="L58" s="2357"/>
      <c r="M58" s="2357"/>
      <c r="N58" s="2357"/>
      <c r="O58" s="2357"/>
      <c r="P58" s="2357"/>
      <c r="Q58" s="2357"/>
      <c r="R58" s="2357"/>
      <c r="S58" s="2357"/>
      <c r="T58" s="2357"/>
      <c r="U58" s="2357"/>
      <c r="V58" s="2357"/>
      <c r="W58" s="2357"/>
      <c r="X58" s="2358"/>
    </row>
    <row r="59" spans="1:24" s="54" customFormat="1">
      <c r="A59" s="1351" t="s">
        <v>2547</v>
      </c>
      <c r="B59" s="1530" t="s">
        <v>2584</v>
      </c>
      <c r="C59" s="1530"/>
      <c r="D59" s="1530" t="s">
        <v>2548</v>
      </c>
      <c r="E59" s="1530"/>
      <c r="F59" s="1297">
        <f>3750*Belarus</f>
        <v>3750</v>
      </c>
      <c r="G59" s="1297"/>
      <c r="I59" s="1296" t="s">
        <v>3621</v>
      </c>
      <c r="J59" s="1296"/>
      <c r="K59" s="1296"/>
      <c r="L59" s="1296"/>
      <c r="M59" s="1296"/>
      <c r="N59" s="1296"/>
      <c r="O59" s="1296"/>
      <c r="P59" s="1296"/>
      <c r="Q59" s="1296"/>
      <c r="R59" s="1296"/>
      <c r="S59" s="1296"/>
      <c r="T59" s="1296"/>
      <c r="U59" s="1296"/>
      <c r="V59" s="1296"/>
      <c r="W59" s="1285">
        <f>2520*Belarus</f>
        <v>2520</v>
      </c>
      <c r="X59" s="1285"/>
    </row>
    <row r="60" spans="1:24" s="54" customFormat="1" ht="12.75" customHeight="1">
      <c r="A60" s="1351"/>
      <c r="B60" s="1530"/>
      <c r="C60" s="1530"/>
      <c r="D60" s="1530"/>
      <c r="E60" s="1530"/>
      <c r="F60" s="1297"/>
      <c r="G60" s="1297"/>
      <c r="I60" s="1296" t="s">
        <v>2549</v>
      </c>
      <c r="J60" s="1296"/>
      <c r="K60" s="1296"/>
      <c r="L60" s="1296"/>
      <c r="M60" s="1296"/>
      <c r="N60" s="1296"/>
      <c r="O60" s="1296"/>
      <c r="P60" s="1296"/>
      <c r="Q60" s="1296"/>
      <c r="R60" s="1296"/>
      <c r="S60" s="1296"/>
      <c r="T60" s="1296"/>
      <c r="U60" s="1296"/>
      <c r="V60" s="1296"/>
      <c r="W60" s="465">
        <f>689*Belarus</f>
        <v>689</v>
      </c>
      <c r="X60" s="465">
        <f>1353*Belarus</f>
        <v>1353</v>
      </c>
    </row>
    <row r="61" spans="1:24" s="54" customFormat="1">
      <c r="A61" s="1351" t="s">
        <v>2551</v>
      </c>
      <c r="B61" s="1530"/>
      <c r="C61" s="1530"/>
      <c r="D61" s="1530" t="s">
        <v>2552</v>
      </c>
      <c r="E61" s="1530"/>
      <c r="F61" s="1297">
        <f>4125*Belarus</f>
        <v>4125</v>
      </c>
      <c r="G61" s="1297"/>
      <c r="I61" s="1296" t="s">
        <v>2550</v>
      </c>
      <c r="J61" s="1296"/>
      <c r="K61" s="1296"/>
      <c r="L61" s="1296"/>
      <c r="M61" s="1296"/>
      <c r="N61" s="1296"/>
      <c r="O61" s="1296"/>
      <c r="P61" s="1296"/>
      <c r="Q61" s="1296"/>
      <c r="R61" s="1296"/>
      <c r="S61" s="1296"/>
      <c r="T61" s="1296"/>
      <c r="U61" s="1296"/>
      <c r="V61" s="1296"/>
      <c r="W61" s="1285">
        <f>2767*Belarus</f>
        <v>2767</v>
      </c>
      <c r="X61" s="1285"/>
    </row>
    <row r="62" spans="1:24" s="54" customFormat="1">
      <c r="A62" s="1351"/>
      <c r="B62" s="1530"/>
      <c r="C62" s="1530"/>
      <c r="D62" s="1530"/>
      <c r="E62" s="1530"/>
      <c r="F62" s="1297"/>
      <c r="G62" s="1297"/>
      <c r="I62" s="138"/>
      <c r="J62" s="138"/>
      <c r="K62" s="138"/>
      <c r="L62" s="138"/>
      <c r="M62" s="138"/>
      <c r="N62" s="138"/>
      <c r="O62" s="138"/>
      <c r="P62" s="138"/>
      <c r="Q62" s="138"/>
      <c r="R62" s="138"/>
      <c r="S62" s="138"/>
      <c r="T62" s="138"/>
      <c r="U62" s="138"/>
      <c r="V62" s="138"/>
      <c r="W62" s="877"/>
      <c r="X62" s="877"/>
    </row>
    <row r="63" spans="1:24" s="54" customFormat="1">
      <c r="A63" s="2387" t="s">
        <v>2553</v>
      </c>
      <c r="B63" s="2387"/>
      <c r="C63" s="2387"/>
      <c r="D63" s="2387"/>
      <c r="E63" s="2387"/>
      <c r="F63" s="2387"/>
      <c r="G63" s="2387"/>
      <c r="I63" s="1491" t="s">
        <v>2558</v>
      </c>
      <c r="J63" s="1491"/>
      <c r="K63" s="1491"/>
      <c r="L63" s="1491"/>
      <c r="M63" s="1491"/>
      <c r="N63" s="1491"/>
      <c r="O63" s="1491"/>
      <c r="P63" s="1491"/>
      <c r="Q63" s="1491"/>
      <c r="R63" s="1491"/>
      <c r="S63" s="1491"/>
      <c r="T63" s="1491"/>
      <c r="U63" s="1491"/>
      <c r="V63" s="1491"/>
      <c r="W63" s="1491"/>
      <c r="X63" s="1491"/>
    </row>
    <row r="64" spans="1:24" s="54" customFormat="1">
      <c r="A64" s="131" t="s">
        <v>307</v>
      </c>
      <c r="B64" s="1352" t="s">
        <v>2554</v>
      </c>
      <c r="C64" s="1352"/>
      <c r="D64" s="1352"/>
      <c r="E64" s="1353" t="s">
        <v>284</v>
      </c>
      <c r="F64" s="1355"/>
      <c r="G64" s="923" t="s">
        <v>3633</v>
      </c>
      <c r="I64" s="1280" t="s">
        <v>425</v>
      </c>
      <c r="J64" s="1280"/>
      <c r="K64" s="1280"/>
      <c r="L64" s="1280"/>
      <c r="M64" s="1280"/>
      <c r="N64" s="1280"/>
      <c r="O64" s="1280"/>
      <c r="P64" s="1280"/>
      <c r="Q64" s="1280"/>
      <c r="R64" s="1280"/>
      <c r="S64" s="1280"/>
      <c r="T64" s="1280"/>
      <c r="U64" s="1280"/>
      <c r="V64" s="1280"/>
      <c r="W64" s="1280"/>
      <c r="X64" s="1280"/>
    </row>
    <row r="65" spans="1:24" s="54" customFormat="1" ht="21" customHeight="1">
      <c r="A65" s="1332" t="s">
        <v>2555</v>
      </c>
      <c r="B65" s="1716" t="s">
        <v>2556</v>
      </c>
      <c r="C65" s="1716"/>
      <c r="D65" s="1716"/>
      <c r="E65" s="1716" t="s">
        <v>2557</v>
      </c>
      <c r="F65" s="1716"/>
      <c r="G65" s="2385">
        <f>2500*Belarus</f>
        <v>2500</v>
      </c>
      <c r="I65" s="1280" t="s">
        <v>429</v>
      </c>
      <c r="J65" s="1280"/>
      <c r="K65" s="1280"/>
      <c r="L65" s="1280"/>
      <c r="M65" s="1280"/>
      <c r="N65" s="1280"/>
      <c r="O65" s="1280"/>
      <c r="P65" s="1280"/>
      <c r="Q65" s="1280"/>
      <c r="R65" s="1280"/>
      <c r="S65" s="1280"/>
      <c r="T65" s="1280"/>
      <c r="U65" s="1280"/>
      <c r="V65" s="1280"/>
      <c r="W65" s="1280"/>
      <c r="X65" s="1280"/>
    </row>
    <row r="66" spans="1:24" s="54" customFormat="1" ht="25.5" customHeight="1">
      <c r="A66" s="1332"/>
      <c r="B66" s="1716"/>
      <c r="C66" s="1716"/>
      <c r="D66" s="1716"/>
      <c r="E66" s="1716"/>
      <c r="F66" s="1716"/>
      <c r="G66" s="2385"/>
      <c r="I66" s="1377" t="s">
        <v>6647</v>
      </c>
      <c r="J66" s="1377"/>
      <c r="K66" s="1377"/>
      <c r="L66" s="1377"/>
      <c r="M66" s="1377"/>
      <c r="N66" s="1377"/>
      <c r="O66" s="1377"/>
      <c r="P66" s="1377"/>
      <c r="Q66" s="1377"/>
      <c r="R66" s="1377"/>
      <c r="S66" s="1377"/>
      <c r="T66" s="1377"/>
      <c r="U66" s="1377"/>
      <c r="V66" s="1377"/>
      <c r="W66" s="1377"/>
      <c r="X66" s="1377"/>
    </row>
    <row r="67" spans="1:24" s="54" customFormat="1">
      <c r="A67" s="1332" t="s">
        <v>2559</v>
      </c>
      <c r="B67" s="1716" t="s">
        <v>2560</v>
      </c>
      <c r="C67" s="1716"/>
      <c r="D67" s="1716"/>
      <c r="E67" s="1716" t="s">
        <v>2561</v>
      </c>
      <c r="F67" s="1716"/>
      <c r="G67" s="2385">
        <f>1560*Belarus</f>
        <v>1560</v>
      </c>
      <c r="I67" s="1280" t="s">
        <v>3730</v>
      </c>
      <c r="J67" s="1280"/>
      <c r="K67" s="1280"/>
      <c r="L67" s="1280"/>
      <c r="M67" s="1280"/>
      <c r="N67" s="1280"/>
      <c r="O67" s="1280"/>
      <c r="P67" s="1280"/>
      <c r="Q67" s="1280"/>
      <c r="R67" s="1280"/>
      <c r="S67" s="1280"/>
      <c r="T67" s="1280"/>
      <c r="U67" s="1280"/>
      <c r="V67" s="1280"/>
      <c r="W67" s="1280"/>
      <c r="X67" s="1280"/>
    </row>
    <row r="68" spans="1:24" s="54" customFormat="1" ht="15" customHeight="1">
      <c r="A68" s="1332"/>
      <c r="B68" s="1716"/>
      <c r="C68" s="1716"/>
      <c r="D68" s="1716"/>
      <c r="E68" s="1716"/>
      <c r="F68" s="1716"/>
      <c r="G68" s="2385"/>
      <c r="I68" s="1280" t="s">
        <v>6340</v>
      </c>
      <c r="J68" s="1280"/>
      <c r="K68" s="1280"/>
      <c r="L68" s="1280"/>
      <c r="M68" s="1280"/>
      <c r="N68" s="1280"/>
      <c r="O68" s="1280"/>
      <c r="P68" s="1280"/>
      <c r="Q68" s="1280"/>
      <c r="R68" s="1280"/>
      <c r="S68" s="1280"/>
      <c r="T68" s="1280"/>
      <c r="U68" s="1280"/>
      <c r="V68" s="1280"/>
      <c r="W68" s="1280"/>
      <c r="X68" s="1280"/>
    </row>
    <row r="69" spans="1:24" s="54" customFormat="1" ht="12.75" customHeight="1">
      <c r="A69" s="127"/>
      <c r="B69" s="69"/>
      <c r="C69" s="69"/>
      <c r="D69" s="69"/>
      <c r="E69" s="69"/>
      <c r="F69" s="167"/>
      <c r="G69" s="167"/>
      <c r="I69" s="1351" t="s">
        <v>6296</v>
      </c>
      <c r="J69" s="1351"/>
      <c r="K69" s="1351"/>
      <c r="L69" s="1351"/>
      <c r="M69" s="1351"/>
      <c r="N69" s="1351"/>
      <c r="O69" s="1351"/>
      <c r="P69" s="1351"/>
      <c r="Q69" s="1351"/>
      <c r="R69" s="1351"/>
      <c r="S69" s="1351"/>
      <c r="T69" s="1351"/>
      <c r="U69" s="1351"/>
      <c r="V69" s="1351"/>
      <c r="W69" s="1351"/>
      <c r="X69" s="1351"/>
    </row>
    <row r="70" spans="1:24" s="54" customFormat="1">
      <c r="A70" s="1398" t="s">
        <v>2562</v>
      </c>
      <c r="B70" s="1398"/>
      <c r="C70" s="1398"/>
      <c r="D70" s="1398" t="s">
        <v>2563</v>
      </c>
      <c r="E70" s="1398"/>
      <c r="F70" s="1398"/>
      <c r="G70" s="1398"/>
      <c r="I70" s="1351"/>
      <c r="J70" s="1351"/>
      <c r="K70" s="1351"/>
      <c r="L70" s="1351"/>
      <c r="M70" s="1351"/>
      <c r="N70" s="1351"/>
      <c r="O70" s="1351"/>
      <c r="P70" s="1351"/>
      <c r="Q70" s="1351"/>
      <c r="R70" s="1351"/>
      <c r="S70" s="1351"/>
      <c r="T70" s="1351"/>
      <c r="U70" s="1351"/>
      <c r="V70" s="1351"/>
      <c r="W70" s="1351"/>
      <c r="X70" s="1351"/>
    </row>
    <row r="71" spans="1:24" s="54" customFormat="1" ht="25.5">
      <c r="A71" s="131" t="s">
        <v>483</v>
      </c>
      <c r="B71" s="131" t="s">
        <v>484</v>
      </c>
      <c r="C71" s="126" t="s">
        <v>5386</v>
      </c>
      <c r="D71" s="1352" t="s">
        <v>483</v>
      </c>
      <c r="E71" s="1352"/>
      <c r="F71" s="131" t="s">
        <v>484</v>
      </c>
      <c r="G71" s="126" t="s">
        <v>5386</v>
      </c>
      <c r="I71" s="1409" t="s">
        <v>6740</v>
      </c>
      <c r="J71" s="1410"/>
      <c r="K71" s="1410"/>
      <c r="L71" s="1410"/>
      <c r="M71" s="1410"/>
      <c r="N71" s="1410"/>
      <c r="O71" s="1410"/>
      <c r="P71" s="1410"/>
      <c r="Q71" s="1410"/>
      <c r="R71" s="1410"/>
      <c r="S71" s="1410"/>
      <c r="T71" s="1410"/>
      <c r="U71" s="1410"/>
      <c r="V71" s="1410"/>
      <c r="W71" s="1410"/>
      <c r="X71" s="1411"/>
    </row>
    <row r="72" spans="1:24" s="54" customFormat="1" ht="13.5" customHeight="1">
      <c r="A72" s="1042" t="s">
        <v>599</v>
      </c>
      <c r="B72" s="1044" t="str">
        <f>(1500*Belarus)&amp;" руб."</f>
        <v>1500 руб.</v>
      </c>
      <c r="C72" s="1900" t="s">
        <v>488</v>
      </c>
      <c r="D72" s="1280" t="s">
        <v>603</v>
      </c>
      <c r="E72" s="1280"/>
      <c r="F72" s="1043" t="s">
        <v>604</v>
      </c>
      <c r="G72" s="1891" t="s">
        <v>488</v>
      </c>
      <c r="I72" s="1296" t="s">
        <v>6569</v>
      </c>
      <c r="J72" s="1505"/>
      <c r="K72" s="1505"/>
      <c r="L72" s="1505"/>
      <c r="M72" s="1505"/>
      <c r="N72" s="1505"/>
      <c r="O72" s="1505"/>
      <c r="P72" s="1505"/>
      <c r="Q72" s="1505"/>
      <c r="R72" s="1505"/>
      <c r="S72" s="1505"/>
      <c r="T72" s="1505"/>
      <c r="U72" s="1505"/>
      <c r="V72" s="1505"/>
      <c r="W72" s="1505"/>
      <c r="X72" s="1505"/>
    </row>
    <row r="73" spans="1:24" s="54" customFormat="1" ht="13.5" customHeight="1">
      <c r="A73" s="45" t="s">
        <v>601</v>
      </c>
      <c r="B73" s="42" t="s">
        <v>602</v>
      </c>
      <c r="C73" s="1997"/>
      <c r="D73" s="1280" t="s">
        <v>607</v>
      </c>
      <c r="E73" s="1280"/>
      <c r="F73" s="1041" t="s">
        <v>608</v>
      </c>
      <c r="G73" s="1892"/>
      <c r="I73" s="1296" t="s">
        <v>6854</v>
      </c>
      <c r="J73" s="1296"/>
      <c r="K73" s="1296"/>
      <c r="L73" s="1296"/>
      <c r="M73" s="1296"/>
      <c r="N73" s="1296"/>
      <c r="O73" s="1296"/>
      <c r="P73" s="1296"/>
      <c r="Q73" s="1296"/>
      <c r="R73" s="1296"/>
      <c r="S73" s="1296"/>
      <c r="T73" s="1296"/>
      <c r="U73" s="1296"/>
      <c r="V73" s="1296"/>
      <c r="W73" s="1296"/>
      <c r="X73" s="1296"/>
    </row>
    <row r="74" spans="1:24" s="54" customFormat="1">
      <c r="A74" s="45" t="s">
        <v>605</v>
      </c>
      <c r="B74" s="42" t="s">
        <v>606</v>
      </c>
      <c r="C74" s="1997"/>
      <c r="D74" s="1280" t="s">
        <v>611</v>
      </c>
      <c r="E74" s="1280"/>
      <c r="F74" s="1041" t="s">
        <v>612</v>
      </c>
      <c r="G74" s="1892"/>
      <c r="I74" s="1280" t="str">
        <f>"Продукция в покрытии Ре 0,45 в цветах RAL 1018 и 2004 (кроме штакетника и доборных элементов) на "&amp;(18*Belarus)&amp;" рублей дороже продукции в покрытии Ре 0,45 в остальных цветах"</f>
        <v>Продукция в покрытии Ре 0,45 в цветах RAL 1018 и 2004 (кроме штакетника и доборных элементов) на 18 рублей дороже продукции в покрытии Ре 0,45 в остальных цветах</v>
      </c>
      <c r="J74" s="1280"/>
      <c r="K74" s="1280"/>
      <c r="L74" s="1280"/>
      <c r="M74" s="1280"/>
      <c r="N74" s="1280"/>
      <c r="O74" s="1280"/>
      <c r="P74" s="1280"/>
      <c r="Q74" s="1280"/>
      <c r="R74" s="1280"/>
      <c r="S74" s="1280"/>
      <c r="T74" s="1280"/>
      <c r="U74" s="1280"/>
      <c r="V74" s="1280"/>
      <c r="W74" s="1280"/>
      <c r="X74" s="1280"/>
    </row>
    <row r="75" spans="1:24" s="54" customFormat="1" ht="12.75" customHeight="1">
      <c r="A75" s="45" t="s">
        <v>609</v>
      </c>
      <c r="B75" s="42" t="s">
        <v>610</v>
      </c>
      <c r="C75" s="1997"/>
      <c r="D75" s="1280" t="s">
        <v>614</v>
      </c>
      <c r="E75" s="1280"/>
      <c r="F75" s="1041" t="s">
        <v>496</v>
      </c>
      <c r="G75" s="43" t="s">
        <v>497</v>
      </c>
      <c r="I75" s="1418" t="s">
        <v>467</v>
      </c>
      <c r="J75" s="1419"/>
      <c r="K75" s="1419"/>
      <c r="L75" s="1419"/>
      <c r="M75" s="1419"/>
      <c r="N75" s="1419"/>
      <c r="O75" s="1419"/>
      <c r="P75" s="1419"/>
      <c r="Q75" s="1419"/>
      <c r="R75" s="1419"/>
      <c r="S75" s="1419"/>
      <c r="T75" s="1419"/>
      <c r="U75" s="1419"/>
      <c r="V75" s="1419"/>
      <c r="W75" s="1419"/>
      <c r="X75" s="1420"/>
    </row>
    <row r="76" spans="1:24" s="54" customFormat="1" ht="12.75" customHeight="1">
      <c r="A76" s="45" t="s">
        <v>613</v>
      </c>
      <c r="B76" s="43" t="s">
        <v>496</v>
      </c>
      <c r="C76" s="1172" t="s">
        <v>497</v>
      </c>
      <c r="D76" s="1332" t="s">
        <v>709</v>
      </c>
      <c r="E76" s="1332"/>
      <c r="F76" s="1332"/>
      <c r="G76" s="1332"/>
      <c r="I76" s="1424"/>
      <c r="J76" s="1425"/>
      <c r="K76" s="1425"/>
      <c r="L76" s="1425"/>
      <c r="M76" s="1425"/>
      <c r="N76" s="1425"/>
      <c r="O76" s="1425"/>
      <c r="P76" s="1425"/>
      <c r="Q76" s="1425"/>
      <c r="R76" s="1425"/>
      <c r="S76" s="1425"/>
      <c r="T76" s="1425"/>
      <c r="U76" s="1425"/>
      <c r="V76" s="1425"/>
      <c r="W76" s="1425"/>
      <c r="X76" s="1426"/>
    </row>
    <row r="77" spans="1:24" s="54" customFormat="1" ht="25.5" customHeight="1">
      <c r="D77" s="1332"/>
      <c r="E77" s="1332"/>
      <c r="F77" s="1332"/>
      <c r="G77" s="1332"/>
      <c r="I77" s="1409" t="s">
        <v>6322</v>
      </c>
      <c r="J77" s="1410"/>
      <c r="K77" s="1410"/>
      <c r="L77" s="1410"/>
      <c r="M77" s="1410"/>
      <c r="N77" s="1410"/>
      <c r="O77" s="1410"/>
      <c r="P77" s="1410"/>
      <c r="Q77" s="1410"/>
      <c r="R77" s="1410"/>
      <c r="S77" s="1410"/>
      <c r="T77" s="1410"/>
      <c r="U77" s="1410"/>
      <c r="V77" s="1410"/>
      <c r="W77" s="1410"/>
      <c r="X77" s="1411"/>
    </row>
    <row r="78" spans="1:24" s="54" customFormat="1">
      <c r="A78" s="127"/>
      <c r="B78" s="69"/>
      <c r="C78" s="69"/>
      <c r="D78" s="69"/>
      <c r="E78" s="69"/>
      <c r="F78" s="167"/>
      <c r="G78" s="167"/>
      <c r="H78" s="138"/>
      <c r="I78" s="1280" t="s">
        <v>616</v>
      </c>
      <c r="J78" s="1280"/>
      <c r="K78" s="1280"/>
      <c r="L78" s="1280"/>
      <c r="M78" s="1280"/>
      <c r="N78" s="1280"/>
      <c r="O78" s="1280"/>
      <c r="P78" s="1280"/>
      <c r="Q78" s="1280"/>
      <c r="R78" s="1280"/>
      <c r="S78" s="1280"/>
      <c r="T78" s="1280"/>
      <c r="U78" s="1280"/>
      <c r="V78" s="1280"/>
      <c r="W78" s="1280"/>
      <c r="X78" s="1280"/>
    </row>
    <row r="79" spans="1:24" s="54" customFormat="1">
      <c r="A79" s="1717" t="s">
        <v>617</v>
      </c>
      <c r="B79" s="1717"/>
      <c r="C79" s="1717"/>
      <c r="D79" s="1717"/>
      <c r="E79" s="1717"/>
      <c r="F79" s="1717"/>
      <c r="G79" s="1717"/>
      <c r="H79" s="138"/>
      <c r="I79" s="1332" t="s">
        <v>492</v>
      </c>
      <c r="J79" s="1332"/>
      <c r="K79" s="1332"/>
      <c r="L79" s="1332"/>
      <c r="M79" s="1332"/>
      <c r="N79" s="1332"/>
      <c r="O79" s="1332"/>
      <c r="P79" s="1332"/>
      <c r="Q79" s="1332"/>
      <c r="R79" s="1332"/>
      <c r="S79" s="1332"/>
      <c r="T79" s="1332"/>
      <c r="U79" s="1332"/>
      <c r="V79" s="1332"/>
      <c r="W79" s="1332"/>
      <c r="X79" s="1332"/>
    </row>
    <row r="80" spans="1:24" s="54" customFormat="1">
      <c r="A80" s="280" t="s">
        <v>498</v>
      </c>
      <c r="B80" s="280" t="str">
        <f>(1000*Belarus)&amp;" руб."</f>
        <v>1000 руб.</v>
      </c>
      <c r="C80" s="280" t="s">
        <v>501</v>
      </c>
      <c r="D80" s="280"/>
      <c r="E80" s="280"/>
      <c r="F80" s="185"/>
      <c r="G80" s="280" t="str">
        <f>(200*Belarus)&amp;" руб."</f>
        <v>200 руб.</v>
      </c>
      <c r="H80" s="138"/>
      <c r="I80" s="1332"/>
      <c r="J80" s="1332"/>
      <c r="K80" s="1332"/>
      <c r="L80" s="1332"/>
      <c r="M80" s="1332"/>
      <c r="N80" s="1332"/>
      <c r="O80" s="1332"/>
      <c r="P80" s="1332"/>
      <c r="Q80" s="1332"/>
      <c r="R80" s="1332"/>
      <c r="S80" s="1332"/>
      <c r="T80" s="1332"/>
      <c r="U80" s="1332"/>
      <c r="V80" s="1332"/>
      <c r="W80" s="1332"/>
      <c r="X80" s="1332"/>
    </row>
    <row r="83" spans="1:24" ht="20.25" customHeight="1">
      <c r="A83" s="1595" t="s">
        <v>508</v>
      </c>
      <c r="B83" s="1595"/>
      <c r="C83" s="1595"/>
      <c r="D83" s="1339" t="s">
        <v>320</v>
      </c>
      <c r="E83" s="2224"/>
      <c r="F83" s="2224"/>
      <c r="G83" s="1339" t="s">
        <v>321</v>
      </c>
      <c r="H83" s="2224"/>
      <c r="I83" s="2224"/>
      <c r="J83" s="2224"/>
      <c r="K83" s="1339" t="s">
        <v>619</v>
      </c>
      <c r="L83" s="1339" t="s">
        <v>323</v>
      </c>
      <c r="M83" s="1339" t="s">
        <v>620</v>
      </c>
      <c r="N83" s="1339" t="s">
        <v>5344</v>
      </c>
      <c r="O83" s="1339" t="s">
        <v>512</v>
      </c>
      <c r="P83" s="1339" t="s">
        <v>334</v>
      </c>
      <c r="Q83" s="1339" t="s">
        <v>335</v>
      </c>
      <c r="R83" s="1595" t="s">
        <v>325</v>
      </c>
      <c r="S83" s="1595"/>
      <c r="T83" s="1595"/>
      <c r="U83" s="1595"/>
      <c r="V83" s="1595"/>
      <c r="W83" s="1595"/>
      <c r="X83" s="145" t="s">
        <v>101</v>
      </c>
    </row>
    <row r="84" spans="1:24" ht="47.25" customHeight="1">
      <c r="A84" s="1595"/>
      <c r="B84" s="1595"/>
      <c r="C84" s="1595"/>
      <c r="D84" s="2224"/>
      <c r="E84" s="2224"/>
      <c r="F84" s="2224"/>
      <c r="G84" s="2224"/>
      <c r="H84" s="2224"/>
      <c r="I84" s="2224"/>
      <c r="J84" s="2224"/>
      <c r="K84" s="1339"/>
      <c r="L84" s="1339"/>
      <c r="M84" s="1339"/>
      <c r="N84" s="1339"/>
      <c r="O84" s="1339"/>
      <c r="P84" s="1339"/>
      <c r="Q84" s="1339"/>
      <c r="R84" s="145">
        <v>0.8</v>
      </c>
      <c r="S84" s="145">
        <v>0.7</v>
      </c>
      <c r="T84" s="145">
        <v>0.65</v>
      </c>
      <c r="U84" s="1595">
        <v>0.45</v>
      </c>
      <c r="V84" s="1595"/>
      <c r="W84" s="992">
        <v>0.4</v>
      </c>
      <c r="X84" s="141" t="s">
        <v>337</v>
      </c>
    </row>
    <row r="85" spans="1:24">
      <c r="A85" s="1330" t="s">
        <v>2564</v>
      </c>
      <c r="B85" s="1330"/>
      <c r="C85" s="1330"/>
      <c r="D85" s="1331">
        <v>0</v>
      </c>
      <c r="E85" s="2224"/>
      <c r="F85" s="2224"/>
      <c r="G85" s="1331">
        <v>0</v>
      </c>
      <c r="H85" s="2224"/>
      <c r="I85" s="2224"/>
      <c r="J85" s="2224"/>
      <c r="K85" s="1322">
        <v>0</v>
      </c>
      <c r="L85" s="1322">
        <v>0</v>
      </c>
      <c r="M85" s="1322">
        <v>0</v>
      </c>
      <c r="N85" s="129">
        <v>0</v>
      </c>
      <c r="O85" s="1322">
        <v>0</v>
      </c>
      <c r="P85" s="129">
        <v>0</v>
      </c>
      <c r="Q85" s="129">
        <v>0</v>
      </c>
      <c r="R85" s="129" t="s">
        <v>369</v>
      </c>
      <c r="S85" s="129">
        <v>0</v>
      </c>
      <c r="T85" s="129">
        <v>0</v>
      </c>
      <c r="U85" s="1331">
        <v>0</v>
      </c>
      <c r="V85" s="1331"/>
      <c r="W85" s="148" t="s">
        <v>369</v>
      </c>
      <c r="X85" s="129" t="s">
        <v>369</v>
      </c>
    </row>
    <row r="86" spans="1:24">
      <c r="A86" s="1330" t="s">
        <v>521</v>
      </c>
      <c r="B86" s="1330"/>
      <c r="C86" s="1330"/>
      <c r="D86" s="2224"/>
      <c r="E86" s="2224"/>
      <c r="F86" s="2224"/>
      <c r="G86" s="2224"/>
      <c r="H86" s="2224"/>
      <c r="I86" s="2224"/>
      <c r="J86" s="2224"/>
      <c r="K86" s="1323"/>
      <c r="L86" s="1323"/>
      <c r="M86" s="1323"/>
      <c r="N86" s="129">
        <v>0</v>
      </c>
      <c r="O86" s="1323"/>
      <c r="P86" s="129">
        <v>0</v>
      </c>
      <c r="Q86" s="129">
        <v>0</v>
      </c>
      <c r="R86" s="129" t="s">
        <v>369</v>
      </c>
      <c r="S86" s="129" t="s">
        <v>369</v>
      </c>
      <c r="T86" s="129" t="s">
        <v>369</v>
      </c>
      <c r="U86" s="1331">
        <v>0</v>
      </c>
      <c r="V86" s="1331"/>
      <c r="W86" s="148" t="s">
        <v>369</v>
      </c>
      <c r="X86" s="129" t="s">
        <v>369</v>
      </c>
    </row>
    <row r="87" spans="1:24">
      <c r="A87" s="1330" t="s">
        <v>519</v>
      </c>
      <c r="B87" s="1330"/>
      <c r="C87" s="1330"/>
      <c r="D87" s="2224"/>
      <c r="E87" s="2224"/>
      <c r="F87" s="2224"/>
      <c r="G87" s="2224"/>
      <c r="H87" s="2224"/>
      <c r="I87" s="2224"/>
      <c r="J87" s="2224"/>
      <c r="K87" s="2386"/>
      <c r="L87" s="2386"/>
      <c r="M87" s="2386"/>
      <c r="N87" s="129">
        <v>0</v>
      </c>
      <c r="O87" s="2386"/>
      <c r="P87" s="129">
        <v>0</v>
      </c>
      <c r="Q87" s="129">
        <v>0</v>
      </c>
      <c r="R87" s="129">
        <v>0</v>
      </c>
      <c r="S87" s="129">
        <v>0</v>
      </c>
      <c r="T87" s="129">
        <v>0</v>
      </c>
      <c r="U87" s="1331">
        <v>0</v>
      </c>
      <c r="V87" s="1331"/>
      <c r="W87" s="148">
        <v>0</v>
      </c>
      <c r="X87" s="129">
        <v>0</v>
      </c>
    </row>
    <row r="88" spans="1:24">
      <c r="A88" s="1330" t="s">
        <v>666</v>
      </c>
      <c r="B88" s="1330"/>
      <c r="C88" s="1330"/>
      <c r="D88" s="1331">
        <v>0</v>
      </c>
      <c r="E88" s="1331"/>
      <c r="F88" s="1331"/>
      <c r="G88" s="1331"/>
      <c r="H88" s="1331"/>
      <c r="I88" s="1331"/>
      <c r="J88" s="1331"/>
      <c r="K88" s="1331"/>
      <c r="L88" s="1331"/>
      <c r="M88" s="1331"/>
      <c r="N88" s="1331"/>
      <c r="O88" s="1331"/>
      <c r="P88" s="1331"/>
      <c r="Q88" s="1331"/>
      <c r="R88" s="1331"/>
      <c r="S88" s="1331"/>
      <c r="T88" s="1331"/>
      <c r="U88" s="1331"/>
      <c r="V88" s="1331"/>
      <c r="W88" s="1331"/>
      <c r="X88" s="1331"/>
    </row>
    <row r="89" spans="1:24">
      <c r="A89" s="1330" t="s">
        <v>158</v>
      </c>
      <c r="B89" s="1330"/>
      <c r="C89" s="1330"/>
      <c r="D89" s="1331">
        <v>0</v>
      </c>
      <c r="E89" s="1331"/>
      <c r="F89" s="1331"/>
      <c r="G89" s="1331"/>
      <c r="H89" s="1331"/>
      <c r="I89" s="1331"/>
      <c r="J89" s="1331"/>
      <c r="K89" s="1331"/>
      <c r="L89" s="1331"/>
      <c r="M89" s="1331"/>
      <c r="N89" s="1331"/>
      <c r="O89" s="1331"/>
      <c r="P89" s="1331"/>
      <c r="Q89" s="1331"/>
      <c r="R89" s="1331"/>
      <c r="S89" s="1331"/>
      <c r="T89" s="1331"/>
      <c r="U89" s="1331"/>
      <c r="V89" s="1331"/>
      <c r="W89" s="1331"/>
      <c r="X89" s="1331"/>
    </row>
    <row r="90" spans="1:24">
      <c r="A90" s="1330" t="s">
        <v>2565</v>
      </c>
      <c r="B90" s="1330"/>
      <c r="C90" s="1330"/>
      <c r="D90" s="1331">
        <v>0</v>
      </c>
      <c r="E90" s="1331"/>
      <c r="F90" s="1331"/>
      <c r="G90" s="1331"/>
      <c r="H90" s="1331"/>
      <c r="I90" s="1331"/>
      <c r="J90" s="1331"/>
      <c r="K90" s="1331"/>
      <c r="L90" s="1331"/>
      <c r="M90" s="1331"/>
      <c r="N90" s="1331"/>
      <c r="O90" s="1331"/>
      <c r="P90" s="1331"/>
      <c r="Q90" s="1331"/>
      <c r="R90" s="1331"/>
      <c r="S90" s="1331"/>
      <c r="T90" s="1331"/>
      <c r="U90" s="1331"/>
      <c r="V90" s="1331"/>
      <c r="W90" s="1331"/>
      <c r="X90" s="1331"/>
    </row>
  </sheetData>
  <sheetProtection selectLockedCells="1" selectUnlockedCells="1"/>
  <mergeCells count="234">
    <mergeCell ref="D28:T28"/>
    <mergeCell ref="U84:V84"/>
    <mergeCell ref="U85:V85"/>
    <mergeCell ref="K83:K84"/>
    <mergeCell ref="K85:K87"/>
    <mergeCell ref="G83:J84"/>
    <mergeCell ref="G85:J87"/>
    <mergeCell ref="U86:V86"/>
    <mergeCell ref="I64:X64"/>
    <mergeCell ref="I65:X65"/>
    <mergeCell ref="I66:X66"/>
    <mergeCell ref="I67:X67"/>
    <mergeCell ref="I68:X68"/>
    <mergeCell ref="D76:G77"/>
    <mergeCell ref="I73:X73"/>
    <mergeCell ref="G67:G68"/>
    <mergeCell ref="I77:X77"/>
    <mergeCell ref="I72:X72"/>
    <mergeCell ref="I71:X71"/>
    <mergeCell ref="A63:G63"/>
    <mergeCell ref="E64:F64"/>
    <mergeCell ref="P83:P84"/>
    <mergeCell ref="M83:M84"/>
    <mergeCell ref="D74:E74"/>
    <mergeCell ref="D75:E75"/>
    <mergeCell ref="I74:X74"/>
    <mergeCell ref="I78:X78"/>
    <mergeCell ref="I63:X63"/>
    <mergeCell ref="A79:G79"/>
    <mergeCell ref="I79:X80"/>
    <mergeCell ref="I75:X76"/>
    <mergeCell ref="A83:C84"/>
    <mergeCell ref="A85:C85"/>
    <mergeCell ref="A86:C86"/>
    <mergeCell ref="N83:N84"/>
    <mergeCell ref="L83:L84"/>
    <mergeCell ref="L85:L87"/>
    <mergeCell ref="A87:C87"/>
    <mergeCell ref="D83:F84"/>
    <mergeCell ref="D85:F87"/>
    <mergeCell ref="C72:C75"/>
    <mergeCell ref="G72:G74"/>
    <mergeCell ref="A90:C90"/>
    <mergeCell ref="D88:X88"/>
    <mergeCell ref="D89:X89"/>
    <mergeCell ref="D90:X90"/>
    <mergeCell ref="A88:C88"/>
    <mergeCell ref="A89:C89"/>
    <mergeCell ref="U87:V87"/>
    <mergeCell ref="B64:D64"/>
    <mergeCell ref="A58:G58"/>
    <mergeCell ref="I61:V61"/>
    <mergeCell ref="M85:M87"/>
    <mergeCell ref="O83:O84"/>
    <mergeCell ref="R83:W83"/>
    <mergeCell ref="W61:X61"/>
    <mergeCell ref="I69:X70"/>
    <mergeCell ref="Q83:Q84"/>
    <mergeCell ref="O85:O87"/>
    <mergeCell ref="F54:G54"/>
    <mergeCell ref="A65:A66"/>
    <mergeCell ref="A67:A68"/>
    <mergeCell ref="B65:D66"/>
    <mergeCell ref="E65:F66"/>
    <mergeCell ref="B67:D68"/>
    <mergeCell ref="E67:F68"/>
    <mergeCell ref="A57:G57"/>
    <mergeCell ref="A55:E55"/>
    <mergeCell ref="G65:G66"/>
    <mergeCell ref="A48:E49"/>
    <mergeCell ref="D71:E71"/>
    <mergeCell ref="D72:E72"/>
    <mergeCell ref="D73:E73"/>
    <mergeCell ref="A70:C70"/>
    <mergeCell ref="D70:G70"/>
    <mergeCell ref="A56:E56"/>
    <mergeCell ref="D61:E62"/>
    <mergeCell ref="F56:G56"/>
    <mergeCell ref="A54:E54"/>
    <mergeCell ref="W52:X52"/>
    <mergeCell ref="I60:V60"/>
    <mergeCell ref="I55:X55"/>
    <mergeCell ref="I56:M56"/>
    <mergeCell ref="U56:V56"/>
    <mergeCell ref="W56:X56"/>
    <mergeCell ref="W59:X59"/>
    <mergeCell ref="N56:T56"/>
    <mergeCell ref="F55:G55"/>
    <mergeCell ref="W39:X39"/>
    <mergeCell ref="I42:X43"/>
    <mergeCell ref="I54:M54"/>
    <mergeCell ref="W54:X54"/>
    <mergeCell ref="N52:T54"/>
    <mergeCell ref="U46:V46"/>
    <mergeCell ref="W46:X46"/>
    <mergeCell ref="I45:M45"/>
    <mergeCell ref="I51:X51"/>
    <mergeCell ref="A40:E41"/>
    <mergeCell ref="I40:M40"/>
    <mergeCell ref="F45:G45"/>
    <mergeCell ref="I41:M41"/>
    <mergeCell ref="A36:E36"/>
    <mergeCell ref="I39:M39"/>
    <mergeCell ref="A44:E44"/>
    <mergeCell ref="F44:G44"/>
    <mergeCell ref="A45:E45"/>
    <mergeCell ref="U36:V36"/>
    <mergeCell ref="U38:V38"/>
    <mergeCell ref="A38:E38"/>
    <mergeCell ref="I38:M38"/>
    <mergeCell ref="U40:V40"/>
    <mergeCell ref="W36:X36"/>
    <mergeCell ref="A37:E37"/>
    <mergeCell ref="F37:G37"/>
    <mergeCell ref="I37:M37"/>
    <mergeCell ref="U37:V37"/>
    <mergeCell ref="W37:X37"/>
    <mergeCell ref="F36:G36"/>
    <mergeCell ref="I36:M36"/>
    <mergeCell ref="F34:G34"/>
    <mergeCell ref="I34:X34"/>
    <mergeCell ref="A35:E35"/>
    <mergeCell ref="F35:G35"/>
    <mergeCell ref="I35:M35"/>
    <mergeCell ref="U35:V35"/>
    <mergeCell ref="W35:X35"/>
    <mergeCell ref="A32:E32"/>
    <mergeCell ref="F32:G32"/>
    <mergeCell ref="I32:X32"/>
    <mergeCell ref="Q9:Q10"/>
    <mergeCell ref="A33:E33"/>
    <mergeCell ref="F33:G33"/>
    <mergeCell ref="I33:M33"/>
    <mergeCell ref="U33:V33"/>
    <mergeCell ref="W33:X33"/>
    <mergeCell ref="A28:A29"/>
    <mergeCell ref="B28:C29"/>
    <mergeCell ref="U28:X30"/>
    <mergeCell ref="B30:C30"/>
    <mergeCell ref="O9:O10"/>
    <mergeCell ref="P9:P10"/>
    <mergeCell ref="I9:I10"/>
    <mergeCell ref="J9:J10"/>
    <mergeCell ref="K9:K10"/>
    <mergeCell ref="M9:M10"/>
    <mergeCell ref="T9:T10"/>
    <mergeCell ref="L9:L10"/>
    <mergeCell ref="X7:X8"/>
    <mergeCell ref="U9:V9"/>
    <mergeCell ref="W9:W10"/>
    <mergeCell ref="X9:X10"/>
    <mergeCell ref="U8:V8"/>
    <mergeCell ref="R9:R10"/>
    <mergeCell ref="S9:S10"/>
    <mergeCell ref="O5:Q5"/>
    <mergeCell ref="H9:H10"/>
    <mergeCell ref="N5:N6"/>
    <mergeCell ref="N9:N10"/>
    <mergeCell ref="A8:C8"/>
    <mergeCell ref="A9:C10"/>
    <mergeCell ref="D9:D10"/>
    <mergeCell ref="E9:E10"/>
    <mergeCell ref="G9:G10"/>
    <mergeCell ref="F9:F10"/>
    <mergeCell ref="W3:X3"/>
    <mergeCell ref="A4:A6"/>
    <mergeCell ref="B4:B6"/>
    <mergeCell ref="C4:C6"/>
    <mergeCell ref="D4:X4"/>
    <mergeCell ref="G5:J5"/>
    <mergeCell ref="K5:K6"/>
    <mergeCell ref="L5:L6"/>
    <mergeCell ref="M5:M6"/>
    <mergeCell ref="D5:F5"/>
    <mergeCell ref="W38:X38"/>
    <mergeCell ref="A39:E39"/>
    <mergeCell ref="F39:G39"/>
    <mergeCell ref="A1:D1"/>
    <mergeCell ref="A2:R2"/>
    <mergeCell ref="R5:W5"/>
    <mergeCell ref="R6:W6"/>
    <mergeCell ref="A7:C7"/>
    <mergeCell ref="R7:W7"/>
    <mergeCell ref="W2:X2"/>
    <mergeCell ref="U39:V39"/>
    <mergeCell ref="A42:E43"/>
    <mergeCell ref="N33:T33"/>
    <mergeCell ref="N35:T41"/>
    <mergeCell ref="N44:T47"/>
    <mergeCell ref="F38:G38"/>
    <mergeCell ref="F40:G41"/>
    <mergeCell ref="I44:M44"/>
    <mergeCell ref="A34:E34"/>
    <mergeCell ref="F42:G43"/>
    <mergeCell ref="W40:X40"/>
    <mergeCell ref="W44:X44"/>
    <mergeCell ref="W50:X50"/>
    <mergeCell ref="I50:M50"/>
    <mergeCell ref="U50:V50"/>
    <mergeCell ref="I59:V59"/>
    <mergeCell ref="U44:V44"/>
    <mergeCell ref="U49:V49"/>
    <mergeCell ref="W49:X49"/>
    <mergeCell ref="I58:X58"/>
    <mergeCell ref="U41:V41"/>
    <mergeCell ref="W41:X41"/>
    <mergeCell ref="F51:G51"/>
    <mergeCell ref="F50:G50"/>
    <mergeCell ref="I53:M53"/>
    <mergeCell ref="W53:X53"/>
    <mergeCell ref="I52:M52"/>
    <mergeCell ref="U52:V54"/>
    <mergeCell ref="I49:M49"/>
    <mergeCell ref="N49:T50"/>
    <mergeCell ref="B59:C62"/>
    <mergeCell ref="A53:E53"/>
    <mergeCell ref="F53:G53"/>
    <mergeCell ref="A51:E51"/>
    <mergeCell ref="W47:X47"/>
    <mergeCell ref="U45:V45"/>
    <mergeCell ref="W45:X45"/>
    <mergeCell ref="I46:M46"/>
    <mergeCell ref="I47:M47"/>
    <mergeCell ref="U47:V47"/>
    <mergeCell ref="A52:E52"/>
    <mergeCell ref="F52:G52"/>
    <mergeCell ref="A46:E47"/>
    <mergeCell ref="A50:E50"/>
    <mergeCell ref="I48:X48"/>
    <mergeCell ref="F61:G62"/>
    <mergeCell ref="A61:A62"/>
    <mergeCell ref="A59:A60"/>
    <mergeCell ref="D59:E60"/>
    <mergeCell ref="F59:G60"/>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45"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30</oddFooter>
  </headerFooter>
  <drawing r:id="rId2"/>
  <legacy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AI57"/>
  <sheetViews>
    <sheetView zoomScale="70" zoomScaleNormal="70" zoomScaleSheetLayoutView="90" workbookViewId="0">
      <selection sqref="A1:C1"/>
    </sheetView>
  </sheetViews>
  <sheetFormatPr defaultColWidth="9.42578125" defaultRowHeight="12.75"/>
  <cols>
    <col min="1" max="1" width="33.140625" style="46" customWidth="1"/>
    <col min="2" max="2" width="9.140625" style="46" customWidth="1"/>
    <col min="3" max="4" width="6.42578125" style="46" customWidth="1"/>
    <col min="5" max="5" width="6.85546875" style="46" customWidth="1"/>
    <col min="6" max="6" width="8.140625" style="46" customWidth="1"/>
    <col min="7" max="7" width="8.28515625" style="46" customWidth="1"/>
    <col min="8" max="8" width="7.42578125" style="46" customWidth="1"/>
    <col min="9" max="9" width="6.42578125" style="46" customWidth="1"/>
    <col min="10" max="10" width="11.140625" style="46" customWidth="1"/>
    <col min="11" max="11" width="8.42578125" style="46" customWidth="1"/>
    <col min="12" max="12" width="8.7109375" style="46" customWidth="1"/>
    <col min="13" max="13" width="7.5703125" style="46" customWidth="1"/>
    <col min="14" max="14" width="8.5703125" style="46" customWidth="1"/>
    <col min="15" max="16" width="6.140625" style="46" customWidth="1"/>
    <col min="17" max="17" width="8.42578125" style="46" customWidth="1"/>
    <col min="18" max="18" width="3" style="46" customWidth="1"/>
    <col min="19" max="19" width="33.85546875" style="46" customWidth="1"/>
    <col min="20" max="20" width="9.42578125" style="46" customWidth="1"/>
    <col min="21" max="21" width="6.42578125" style="46" customWidth="1"/>
    <col min="22" max="22" width="5.7109375" style="46" customWidth="1"/>
    <col min="23" max="23" width="6.5703125" style="46" customWidth="1"/>
    <col min="24" max="24" width="7.7109375" style="46" customWidth="1"/>
    <col min="25" max="25" width="8.140625" style="46" customWidth="1"/>
    <col min="26" max="26" width="7" style="46" customWidth="1"/>
    <col min="27" max="27" width="6.42578125" style="46" customWidth="1"/>
    <col min="28" max="28" width="10.7109375" style="46" customWidth="1"/>
    <col min="29" max="29" width="8.7109375" style="46" customWidth="1"/>
    <col min="30" max="30" width="8.5703125" style="46" customWidth="1"/>
    <col min="31" max="31" width="7.5703125" style="46" customWidth="1"/>
    <col min="32" max="32" width="9.140625" style="46" customWidth="1"/>
    <col min="33" max="34" width="6" style="46" customWidth="1"/>
    <col min="35" max="35" width="7.7109375" style="46" customWidth="1"/>
    <col min="36" max="16384" width="9.42578125" style="46"/>
  </cols>
  <sheetData>
    <row r="1" spans="1:35">
      <c r="A1" s="1666" t="s">
        <v>312</v>
      </c>
      <c r="B1" s="1666"/>
      <c r="C1" s="1666"/>
    </row>
    <row r="2" spans="1:35" ht="15.75" customHeight="1" thickBot="1">
      <c r="A2" s="1851" t="s">
        <v>2566</v>
      </c>
      <c r="B2" s="1851"/>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741"/>
      <c r="AC2" s="741"/>
      <c r="AD2" s="741"/>
      <c r="AE2" s="741"/>
      <c r="AF2" s="760" t="s">
        <v>313</v>
      </c>
      <c r="AG2" s="2021">
        <v>43248</v>
      </c>
      <c r="AH2" s="2021"/>
      <c r="AI2" s="2021"/>
    </row>
    <row r="3" spans="1:35">
      <c r="A3" s="188"/>
      <c r="C3" s="251"/>
      <c r="D3" s="251"/>
      <c r="E3" s="251"/>
      <c r="F3" s="251"/>
      <c r="G3" s="418"/>
      <c r="Z3" s="418"/>
      <c r="AD3" s="758"/>
      <c r="AE3" s="1045"/>
      <c r="AF3" s="2" t="s">
        <v>315</v>
      </c>
      <c r="AG3" s="2414">
        <v>43248</v>
      </c>
      <c r="AH3" s="2414"/>
      <c r="AI3" s="2414"/>
    </row>
    <row r="4" spans="1:35" ht="16.5" customHeight="1">
      <c r="A4" s="1398" t="s">
        <v>307</v>
      </c>
      <c r="B4" s="1398" t="s">
        <v>5412</v>
      </c>
      <c r="C4" s="1398" t="s">
        <v>2567</v>
      </c>
      <c r="D4" s="1398"/>
      <c r="E4" s="1398"/>
      <c r="F4" s="1398"/>
      <c r="G4" s="1398"/>
      <c r="H4" s="1398"/>
      <c r="I4" s="1398"/>
      <c r="J4" s="1398"/>
      <c r="K4" s="1398"/>
      <c r="L4" s="1398"/>
      <c r="M4" s="1398"/>
      <c r="N4" s="1398"/>
      <c r="O4" s="1398"/>
      <c r="P4" s="1398"/>
      <c r="Q4" s="1398"/>
      <c r="S4" s="1398" t="s">
        <v>307</v>
      </c>
      <c r="T4" s="1398" t="s">
        <v>5412</v>
      </c>
      <c r="U4" s="1398" t="s">
        <v>2567</v>
      </c>
      <c r="V4" s="1398"/>
      <c r="W4" s="1398"/>
      <c r="X4" s="1398"/>
      <c r="Y4" s="1398"/>
      <c r="Z4" s="1398"/>
      <c r="AA4" s="1398"/>
      <c r="AB4" s="1398"/>
      <c r="AC4" s="1398"/>
      <c r="AD4" s="1398"/>
      <c r="AE4" s="1398"/>
      <c r="AF4" s="1398"/>
      <c r="AG4" s="1398"/>
      <c r="AH4" s="1398"/>
      <c r="AI4" s="1398"/>
    </row>
    <row r="5" spans="1:35" ht="15" customHeight="1">
      <c r="A5" s="1398"/>
      <c r="B5" s="1398"/>
      <c r="C5" s="1465" t="s">
        <v>320</v>
      </c>
      <c r="D5" s="1466"/>
      <c r="E5" s="1467"/>
      <c r="F5" s="1479" t="s">
        <v>321</v>
      </c>
      <c r="G5" s="1517"/>
      <c r="H5" s="1517"/>
      <c r="I5" s="1480"/>
      <c r="J5" s="1539" t="s">
        <v>528</v>
      </c>
      <c r="K5" s="1539" t="s">
        <v>323</v>
      </c>
      <c r="L5" s="1539" t="s">
        <v>620</v>
      </c>
      <c r="M5" s="1539" t="s">
        <v>5344</v>
      </c>
      <c r="N5" s="1479" t="s">
        <v>324</v>
      </c>
      <c r="O5" s="1517"/>
      <c r="P5" s="1480"/>
      <c r="Q5" s="63" t="s">
        <v>325</v>
      </c>
      <c r="S5" s="1398"/>
      <c r="T5" s="1398"/>
      <c r="U5" s="1465" t="s">
        <v>320</v>
      </c>
      <c r="V5" s="1466"/>
      <c r="W5" s="1467"/>
      <c r="X5" s="1479" t="s">
        <v>321</v>
      </c>
      <c r="Y5" s="1517"/>
      <c r="Z5" s="1517"/>
      <c r="AA5" s="1480"/>
      <c r="AB5" s="1539" t="s">
        <v>528</v>
      </c>
      <c r="AC5" s="1539" t="s">
        <v>323</v>
      </c>
      <c r="AD5" s="1539" t="s">
        <v>620</v>
      </c>
      <c r="AE5" s="1539" t="s">
        <v>5344</v>
      </c>
      <c r="AF5" s="1479" t="s">
        <v>324</v>
      </c>
      <c r="AG5" s="1429"/>
      <c r="AH5" s="1430"/>
      <c r="AI5" s="63" t="s">
        <v>325</v>
      </c>
    </row>
    <row r="6" spans="1:35" ht="50.25" customHeight="1">
      <c r="A6" s="1398"/>
      <c r="B6" s="1398"/>
      <c r="C6" s="168" t="s">
        <v>670</v>
      </c>
      <c r="D6" s="168" t="s">
        <v>668</v>
      </c>
      <c r="E6" s="168" t="s">
        <v>329</v>
      </c>
      <c r="F6" s="60" t="s">
        <v>669</v>
      </c>
      <c r="G6" s="107" t="s">
        <v>331</v>
      </c>
      <c r="H6" s="107" t="s">
        <v>332</v>
      </c>
      <c r="I6" s="824" t="s">
        <v>333</v>
      </c>
      <c r="J6" s="1539"/>
      <c r="K6" s="1539"/>
      <c r="L6" s="1539"/>
      <c r="M6" s="1539"/>
      <c r="N6" s="62" t="s">
        <v>2568</v>
      </c>
      <c r="O6" s="107" t="s">
        <v>334</v>
      </c>
      <c r="P6" s="107" t="s">
        <v>2569</v>
      </c>
      <c r="Q6" s="168" t="s">
        <v>2570</v>
      </c>
      <c r="S6" s="1398"/>
      <c r="T6" s="1398"/>
      <c r="U6" s="168" t="s">
        <v>670</v>
      </c>
      <c r="V6" s="168" t="s">
        <v>668</v>
      </c>
      <c r="W6" s="168" t="s">
        <v>329</v>
      </c>
      <c r="X6" s="60" t="s">
        <v>669</v>
      </c>
      <c r="Y6" s="107" t="s">
        <v>331</v>
      </c>
      <c r="Z6" s="107" t="s">
        <v>332</v>
      </c>
      <c r="AA6" s="824" t="s">
        <v>333</v>
      </c>
      <c r="AB6" s="1539"/>
      <c r="AC6" s="1539"/>
      <c r="AD6" s="1539"/>
      <c r="AE6" s="1539"/>
      <c r="AF6" s="107" t="s">
        <v>2568</v>
      </c>
      <c r="AG6" s="107" t="s">
        <v>334</v>
      </c>
      <c r="AH6" s="107" t="s">
        <v>2569</v>
      </c>
      <c r="AI6" s="168" t="s">
        <v>2570</v>
      </c>
    </row>
    <row r="7" spans="1:35" ht="21" customHeight="1">
      <c r="A7" s="950" t="s">
        <v>5410</v>
      </c>
      <c r="B7" s="951"/>
      <c r="C7" s="951"/>
      <c r="D7" s="951"/>
      <c r="E7" s="951"/>
      <c r="F7" s="951"/>
      <c r="G7" s="951"/>
      <c r="H7" s="951"/>
      <c r="I7" s="951"/>
      <c r="J7" s="951"/>
      <c r="K7" s="951"/>
      <c r="L7" s="951"/>
      <c r="M7" s="951"/>
      <c r="N7" s="951"/>
      <c r="O7" s="951"/>
      <c r="P7" s="951"/>
      <c r="Q7" s="952"/>
      <c r="R7" s="467"/>
      <c r="S7" s="950" t="s">
        <v>5411</v>
      </c>
      <c r="T7" s="951"/>
      <c r="U7" s="951"/>
      <c r="V7" s="951"/>
      <c r="W7" s="951"/>
      <c r="X7" s="951"/>
      <c r="Y7" s="951"/>
      <c r="Z7" s="951"/>
      <c r="AA7" s="951"/>
      <c r="AB7" s="951"/>
      <c r="AC7" s="951"/>
      <c r="AD7" s="951"/>
      <c r="AE7" s="951"/>
      <c r="AF7" s="951"/>
      <c r="AG7" s="951"/>
      <c r="AH7" s="951"/>
      <c r="AI7" s="952"/>
    </row>
    <row r="8" spans="1:35" ht="28.5" customHeight="1">
      <c r="A8" s="1039" t="s">
        <v>5389</v>
      </c>
      <c r="B8" s="162">
        <v>113</v>
      </c>
      <c r="C8" s="163">
        <f>ROUND(186*Belarus*(1-B57),2)</f>
        <v>186</v>
      </c>
      <c r="D8" s="87">
        <f>ROUND(158*Belarus*(1-B57),2)</f>
        <v>158</v>
      </c>
      <c r="E8" s="87">
        <f>ROUND(164*Belarus*(1-B57),2)</f>
        <v>164</v>
      </c>
      <c r="F8" s="468">
        <f>ROUND(176*Belarus*(1-B57),2)</f>
        <v>176</v>
      </c>
      <c r="G8" s="90">
        <f>ROUND(148*Belarus*(1-B57),2)</f>
        <v>148</v>
      </c>
      <c r="H8" s="90">
        <f>ROUND(142*Belarus*(1-B57),2)</f>
        <v>142</v>
      </c>
      <c r="I8" s="90">
        <f>ROUND(136*Belarus*(1-B57),2)</f>
        <v>136</v>
      </c>
      <c r="J8" s="87">
        <f>ROUND(228*Belarus*(1-B57),2)</f>
        <v>228</v>
      </c>
      <c r="K8" s="87">
        <f>ROUND(138*Belarus*(1-B57),2)</f>
        <v>138</v>
      </c>
      <c r="L8" s="87">
        <f>ROUND(141*Belarus*(1-B57),2)</f>
        <v>141</v>
      </c>
      <c r="M8" s="87">
        <f>ROUND(138*Belarus*(1-B57),2)</f>
        <v>138</v>
      </c>
      <c r="N8" s="90">
        <f>ROUND(160*Belarus*(1-B57),2)</f>
        <v>160</v>
      </c>
      <c r="O8" s="90">
        <f>ROUND(128*Belarus*(1-B57),2)</f>
        <v>128</v>
      </c>
      <c r="P8" s="90">
        <f>ROUND(121*Belarus*(1-B57),2)</f>
        <v>121</v>
      </c>
      <c r="Q8" s="87">
        <f>ROUND(175*Belarus*(1-B57),2)</f>
        <v>175</v>
      </c>
      <c r="S8" s="211" t="s">
        <v>2426</v>
      </c>
      <c r="T8" s="90">
        <v>50</v>
      </c>
      <c r="U8" s="163">
        <f>ROUND(93*Belarus*(1-B57),2)</f>
        <v>93</v>
      </c>
      <c r="V8" s="87">
        <f>ROUND(80*Belarus*(1-B57),2)</f>
        <v>80</v>
      </c>
      <c r="W8" s="87">
        <f>ROUND(84*Belarus*(1-B57),2)</f>
        <v>84</v>
      </c>
      <c r="X8" s="468">
        <f>ROUND(89*Belarus*(1-B57),2)</f>
        <v>89</v>
      </c>
      <c r="Y8" s="90">
        <f>ROUND(75*Belarus*(1-B57),2)</f>
        <v>75</v>
      </c>
      <c r="Z8" s="90">
        <f>ROUND(72*Belarus*(1-B57),2)</f>
        <v>72</v>
      </c>
      <c r="AA8" s="90">
        <f>ROUND(70*Belarus*(1-B57),2)</f>
        <v>70</v>
      </c>
      <c r="AB8" s="87">
        <f>ROUND(113*Belarus*(1-B57),2)</f>
        <v>113</v>
      </c>
      <c r="AC8" s="87">
        <f>ROUND(71*Belarus*(1-B57),2)</f>
        <v>71</v>
      </c>
      <c r="AD8" s="249">
        <f>ROUND(72*Belarus*(1-B57),2)</f>
        <v>72</v>
      </c>
      <c r="AE8" s="249">
        <f>ROUND(70*Belarus*(1-B57),2)</f>
        <v>70</v>
      </c>
      <c r="AF8" s="90">
        <f>ROUND(72*Belarus*(1-B57),2)</f>
        <v>72</v>
      </c>
      <c r="AG8" s="90">
        <f>ROUND(66*Belarus*(1-B57),2)</f>
        <v>66</v>
      </c>
      <c r="AH8" s="90">
        <f>ROUND(63*Belarus*(1-B57),2)</f>
        <v>63</v>
      </c>
      <c r="AI8" s="87">
        <f>ROUND(88*Belarus*(1-B57),2)</f>
        <v>88</v>
      </c>
    </row>
    <row r="9" spans="1:35" ht="29.25" customHeight="1">
      <c r="A9" s="1039" t="s">
        <v>5390</v>
      </c>
      <c r="B9" s="162">
        <v>113</v>
      </c>
      <c r="C9" s="163">
        <f t="shared" ref="C9:Q9" si="0">C8</f>
        <v>186</v>
      </c>
      <c r="D9" s="87">
        <f t="shared" si="0"/>
        <v>158</v>
      </c>
      <c r="E9" s="87">
        <f t="shared" si="0"/>
        <v>164</v>
      </c>
      <c r="F9" s="468">
        <f t="shared" si="0"/>
        <v>176</v>
      </c>
      <c r="G9" s="90">
        <f t="shared" si="0"/>
        <v>148</v>
      </c>
      <c r="H9" s="90">
        <f t="shared" si="0"/>
        <v>142</v>
      </c>
      <c r="I9" s="90">
        <f t="shared" si="0"/>
        <v>136</v>
      </c>
      <c r="J9" s="87">
        <f t="shared" si="0"/>
        <v>228</v>
      </c>
      <c r="K9" s="87">
        <f t="shared" si="0"/>
        <v>138</v>
      </c>
      <c r="L9" s="87">
        <f t="shared" si="0"/>
        <v>141</v>
      </c>
      <c r="M9" s="87">
        <f>M8</f>
        <v>138</v>
      </c>
      <c r="N9" s="90">
        <f t="shared" si="0"/>
        <v>160</v>
      </c>
      <c r="O9" s="90">
        <f t="shared" si="0"/>
        <v>128</v>
      </c>
      <c r="P9" s="90">
        <f t="shared" si="0"/>
        <v>121</v>
      </c>
      <c r="Q9" s="87">
        <f t="shared" si="0"/>
        <v>175</v>
      </c>
      <c r="S9" s="211" t="s">
        <v>2427</v>
      </c>
      <c r="T9" s="90">
        <v>125</v>
      </c>
      <c r="U9" s="163">
        <f>ROUND(203*Belarus*(1-B57),2)</f>
        <v>203</v>
      </c>
      <c r="V9" s="87">
        <f>ROUND(172*Belarus*(1-B57),2)</f>
        <v>172</v>
      </c>
      <c r="W9" s="87">
        <f>ROUND(179*Belarus*(1-B57),2)</f>
        <v>179</v>
      </c>
      <c r="X9" s="468">
        <f>ROUND(192*Belarus*(1-B57),2)</f>
        <v>192</v>
      </c>
      <c r="Y9" s="90">
        <f>ROUND(161*Belarus*(1-B57),2)</f>
        <v>161</v>
      </c>
      <c r="Z9" s="90">
        <f>ROUND(155*Belarus*(1-B57),2)</f>
        <v>155</v>
      </c>
      <c r="AA9" s="90">
        <f>ROUND(148*Belarus*(1-B57),2)</f>
        <v>148</v>
      </c>
      <c r="AB9" s="87">
        <f>ROUND(250*Belarus*(1-B57),2)</f>
        <v>250</v>
      </c>
      <c r="AC9" s="87">
        <f>ROUND(151*Belarus*(1-B57),2)</f>
        <v>151</v>
      </c>
      <c r="AD9" s="249">
        <f>ROUND(154*Belarus*(1-B57),2)</f>
        <v>154</v>
      </c>
      <c r="AE9" s="249">
        <f>ROUND(150*Belarus*(1-B57),2)</f>
        <v>150</v>
      </c>
      <c r="AF9" s="90">
        <f>ROUND(171*Belarus*(1-B57),2)</f>
        <v>171</v>
      </c>
      <c r="AG9" s="90">
        <f>ROUND(140*Belarus*(1-B57),2)</f>
        <v>140</v>
      </c>
      <c r="AH9" s="90">
        <f>ROUND(132*Belarus*(1-B57),2)</f>
        <v>132</v>
      </c>
      <c r="AI9" s="87">
        <f>ROUND(191*Belarus*(1-B57),2)</f>
        <v>191</v>
      </c>
    </row>
    <row r="10" spans="1:35" ht="28.5" customHeight="1">
      <c r="A10" s="1039" t="s">
        <v>2571</v>
      </c>
      <c r="B10" s="162">
        <v>170</v>
      </c>
      <c r="C10" s="163">
        <f>ROUND(284*Belarus*(1-B57),2)</f>
        <v>284</v>
      </c>
      <c r="D10" s="87">
        <f>ROUND(239*Belarus*(1-B57),2)</f>
        <v>239</v>
      </c>
      <c r="E10" s="87">
        <f>ROUND(251*Belarus*(1-B57),2)</f>
        <v>251</v>
      </c>
      <c r="F10" s="468">
        <f>ROUND(269*Belarus*(1-B57),2)</f>
        <v>269</v>
      </c>
      <c r="G10" s="90">
        <f>ROUND(224*Belarus*(1-B57),2)</f>
        <v>224</v>
      </c>
      <c r="H10" s="90">
        <f>ROUND(215*Belarus*(1-B57),2)</f>
        <v>215</v>
      </c>
      <c r="I10" s="90">
        <f>ROUND(205*Belarus*(1-B57),2)</f>
        <v>205</v>
      </c>
      <c r="J10" s="87">
        <f>ROUND(350*Belarus*(1-B57),2)</f>
        <v>350</v>
      </c>
      <c r="K10" s="87">
        <f>ROUND(208*Belarus*(1-B57),2)</f>
        <v>208</v>
      </c>
      <c r="L10" s="87">
        <f>ROUND(213*Belarus*(1-B57),2)</f>
        <v>213</v>
      </c>
      <c r="M10" s="87">
        <f>ROUND(208*Belarus*(1-B57),2)</f>
        <v>208</v>
      </c>
      <c r="N10" s="90">
        <f>ROUND(244*Belarus*(1-B57),2)</f>
        <v>244</v>
      </c>
      <c r="O10" s="90">
        <f>ROUND(193*Belarus*(1-B57),2)</f>
        <v>193</v>
      </c>
      <c r="P10" s="90">
        <f>ROUND(182*Belarus*(1-B57),2)</f>
        <v>182</v>
      </c>
      <c r="Q10" s="87">
        <f>ROUND(267*Belarus*(1-B57),2)</f>
        <v>267</v>
      </c>
      <c r="S10" s="1038" t="s">
        <v>2428</v>
      </c>
      <c r="T10" s="90">
        <v>208</v>
      </c>
      <c r="U10" s="163" t="str">
        <f>ROUND(395*Belarus*(1-B57),2)&amp;" "</f>
        <v xml:space="preserve">395 </v>
      </c>
      <c r="V10" s="87" t="str">
        <f>ROUND(312*Belarus*(1-B57),2)&amp;" "</f>
        <v xml:space="preserve">312 </v>
      </c>
      <c r="W10" s="87" t="str">
        <f>ROUND(325*Belarus*(1-B57),2)&amp;" "</f>
        <v xml:space="preserve">325 </v>
      </c>
      <c r="X10" s="468" t="str">
        <f>ROUND(373*Belarus*(1-B57),2)&amp;" "</f>
        <v xml:space="preserve">373 </v>
      </c>
      <c r="Y10" s="90" t="str">
        <f>ROUND(312*Belarus*(1-B57),2)&amp;" "</f>
        <v xml:space="preserve">312 </v>
      </c>
      <c r="Z10" s="90" t="str">
        <f>ROUND(299*Belarus*(1-B57),2)&amp;" "</f>
        <v xml:space="preserve">299 </v>
      </c>
      <c r="AA10" s="90" t="str">
        <f>ROUND(265*Belarus*(1-B57),2)&amp;" "</f>
        <v xml:space="preserve">265 </v>
      </c>
      <c r="AB10" s="87" t="str">
        <f>ROUND(454*Belarus*(1-B57),2)&amp;" "</f>
        <v xml:space="preserve">454 </v>
      </c>
      <c r="AC10" s="87" t="str">
        <f>ROUND(286*Belarus*(1-B57),2)&amp;" "</f>
        <v xml:space="preserve">286 </v>
      </c>
      <c r="AD10" s="249" t="str">
        <f>ROUND(293*Belarus*(1-B57),2)&amp;" "</f>
        <v xml:space="preserve">293 </v>
      </c>
      <c r="AE10" s="249">
        <f>ROUND(240*Belarus*(1-B57),2)</f>
        <v>240</v>
      </c>
      <c r="AF10" s="90" t="str">
        <f>ROUND(330*Belarus*(1-B57),2)&amp;" "</f>
        <v xml:space="preserve">330 </v>
      </c>
      <c r="AG10" s="90" t="str">
        <f>ROUND(266*Belarus*(1-B57),2)&amp;" "</f>
        <v xml:space="preserve">266 </v>
      </c>
      <c r="AH10" s="90" t="str">
        <f>ROUND(252*Belarus*(1-B57),2)&amp;" "</f>
        <v xml:space="preserve">252 </v>
      </c>
      <c r="AI10" s="87" t="str">
        <f>ROUND(371*Belarus*(1-B57),2)&amp;" "</f>
        <v xml:space="preserve">371 </v>
      </c>
    </row>
    <row r="11" spans="1:35" ht="28.5" customHeight="1">
      <c r="A11" s="1038" t="s">
        <v>2572</v>
      </c>
      <c r="B11" s="90">
        <v>110</v>
      </c>
      <c r="C11" s="163">
        <f>ROUND(186*Belarus*(1-B57),2)</f>
        <v>186</v>
      </c>
      <c r="D11" s="87">
        <f>ROUND(158*Belarus*(1-B57),2)</f>
        <v>158</v>
      </c>
      <c r="E11" s="87">
        <f>ROUND(164*Belarus*(1-B57),2)</f>
        <v>164</v>
      </c>
      <c r="F11" s="468">
        <f>ROUND(176*Belarus*(1-B57),2)</f>
        <v>176</v>
      </c>
      <c r="G11" s="90">
        <f>ROUND(148*Belarus*(1-B57),2)</f>
        <v>148</v>
      </c>
      <c r="H11" s="90">
        <f>ROUND(142*Belarus*(1-B57),2)</f>
        <v>142</v>
      </c>
      <c r="I11" s="90">
        <f>ROUND(136*Belarus*(1-B57),2)</f>
        <v>136</v>
      </c>
      <c r="J11" s="87">
        <f>ROUND(228*Belarus*(1-B57),2)</f>
        <v>228</v>
      </c>
      <c r="K11" s="87">
        <f>ROUND(136*Belarus*(1-B57),2)</f>
        <v>136</v>
      </c>
      <c r="L11" s="87">
        <f>ROUND(141*Belarus*(1-B57),2)</f>
        <v>141</v>
      </c>
      <c r="M11" s="87">
        <f>ROUND(138*Belarus*(1-B57),2)</f>
        <v>138</v>
      </c>
      <c r="N11" s="90">
        <f>ROUND(160*Belarus*(1-B57),2)</f>
        <v>160</v>
      </c>
      <c r="O11" s="90">
        <f>ROUND(128*Belarus*(1-B57),2)</f>
        <v>128</v>
      </c>
      <c r="P11" s="90">
        <f>ROUND(121*Belarus*(1-B57),2)</f>
        <v>121</v>
      </c>
      <c r="Q11" s="87">
        <f>ROUND(175*Belarus*(1-B57),2)</f>
        <v>175</v>
      </c>
      <c r="S11" s="211" t="s">
        <v>2429</v>
      </c>
      <c r="T11" s="90">
        <v>125</v>
      </c>
      <c r="U11" s="163">
        <f>U9</f>
        <v>203</v>
      </c>
      <c r="V11" s="87">
        <f>ROUND(172*Belarus*(1-B57),2)</f>
        <v>172</v>
      </c>
      <c r="W11" s="87">
        <f>ROUND(179*Belarus*(1-B57),2)</f>
        <v>179</v>
      </c>
      <c r="X11" s="468">
        <f>ROUND(192*Belarus*(1-B57),2)</f>
        <v>192</v>
      </c>
      <c r="Y11" s="90">
        <f>ROUND(161*Belarus*(1-B57),2)</f>
        <v>161</v>
      </c>
      <c r="Z11" s="90">
        <f>ROUND(155*Belarus*(1-B57),2)</f>
        <v>155</v>
      </c>
      <c r="AA11" s="90">
        <f>ROUND(148*Belarus*(1-B57),2)</f>
        <v>148</v>
      </c>
      <c r="AB11" s="87">
        <f>ROUND(250*Belarus*(1-B57),2)</f>
        <v>250</v>
      </c>
      <c r="AC11" s="87">
        <f>ROUND(151*Belarus*(1-B57),2)</f>
        <v>151</v>
      </c>
      <c r="AD11" s="249">
        <f>ROUND(154*Belarus*(1-B57),2)</f>
        <v>154</v>
      </c>
      <c r="AE11" s="249">
        <f>ROUND(150*Belarus*(1-B57),2)</f>
        <v>150</v>
      </c>
      <c r="AF11" s="90">
        <f>ROUND(171*Belarus*(1-B57),2)</f>
        <v>171</v>
      </c>
      <c r="AG11" s="90">
        <f>ROUND(140*Belarus*(1-B57),2)</f>
        <v>140</v>
      </c>
      <c r="AH11" s="90">
        <f>ROUND(132*Belarus*(1-B57),2)</f>
        <v>132</v>
      </c>
      <c r="AI11" s="87">
        <f>ROUND(191*Belarus*(1-B57),2)</f>
        <v>191</v>
      </c>
    </row>
    <row r="12" spans="1:35" ht="28.5" customHeight="1">
      <c r="A12" s="1039" t="s">
        <v>2573</v>
      </c>
      <c r="B12" s="162">
        <v>240</v>
      </c>
      <c r="C12" s="163">
        <f>ROUND(392*Belarus*(1-B57),2)</f>
        <v>392</v>
      </c>
      <c r="D12" s="87">
        <f>ROUND(330*Belarus*(1-B57),2)</f>
        <v>330</v>
      </c>
      <c r="E12" s="87">
        <f>ROUND(345*Belarus*(1-B57),2)</f>
        <v>345</v>
      </c>
      <c r="F12" s="468">
        <f>ROUND(370*Belarus*(1-B57),2)</f>
        <v>370</v>
      </c>
      <c r="G12" s="90">
        <f>ROUND(309*Belarus*(1-B57),2)</f>
        <v>309</v>
      </c>
      <c r="H12" s="90">
        <f>ROUND(295*Belarus*(1-B57),2)</f>
        <v>295</v>
      </c>
      <c r="I12" s="90">
        <f>ROUND(282*Belarus*(1-B57),2)</f>
        <v>282</v>
      </c>
      <c r="J12" s="87">
        <f>ROUND(484*Belarus*(1-B57),2)</f>
        <v>484</v>
      </c>
      <c r="K12" s="87">
        <f>ROUND(287*Belarus*(1-B57),2)</f>
        <v>287</v>
      </c>
      <c r="L12" s="87">
        <f>ROUND(293*Belarus*(1-B57),2)</f>
        <v>293</v>
      </c>
      <c r="M12" s="87">
        <f>ROUND(286*Belarus*(1-B57),2)</f>
        <v>286</v>
      </c>
      <c r="N12" s="90">
        <f>ROUND(335*Belarus*(1-B57),2)</f>
        <v>335</v>
      </c>
      <c r="O12" s="90">
        <f>ROUND(265*Belarus*(1-B57),2)</f>
        <v>265</v>
      </c>
      <c r="P12" s="90">
        <f>ROUND(250*Belarus*(1-B57),2)</f>
        <v>250</v>
      </c>
      <c r="Q12" s="87">
        <f>ROUND(367*Belarus*(1-B57),2)</f>
        <v>367</v>
      </c>
      <c r="S12" s="1038" t="s">
        <v>2431</v>
      </c>
      <c r="T12" s="90">
        <v>312</v>
      </c>
      <c r="U12" s="163" t="str">
        <f>ROUND(583*Belarus*(1-B57),2)&amp;" "</f>
        <v xml:space="preserve">583 </v>
      </c>
      <c r="V12" s="87" t="str">
        <f>ROUND(458*Belarus*(1-B57),2)&amp;" "</f>
        <v xml:space="preserve">458 </v>
      </c>
      <c r="W12" s="87" t="str">
        <f>ROUND(478*Belarus*(1-B57),2)&amp;" "</f>
        <v xml:space="preserve">478 </v>
      </c>
      <c r="X12" s="468" t="str">
        <f>ROUND(552*Belarus*(1-B57),2)&amp;" "</f>
        <v xml:space="preserve">552 </v>
      </c>
      <c r="Y12" s="90" t="str">
        <f>ROUND(458*Belarus*(1-B57),2)&amp;" "</f>
        <v xml:space="preserve">458 </v>
      </c>
      <c r="Z12" s="90" t="str">
        <f>ROUND(438*Belarus*(1-B57),2)&amp;" "</f>
        <v xml:space="preserve">438 </v>
      </c>
      <c r="AA12" s="90" t="str">
        <f>ROUND(390*Belarus*(1-B57),2)&amp;" "</f>
        <v xml:space="preserve">390 </v>
      </c>
      <c r="AB12" s="87" t="str">
        <f>ROUND(672*Belarus*(1-B57),2)&amp;" "</f>
        <v xml:space="preserve">672 </v>
      </c>
      <c r="AC12" s="87" t="str">
        <f>ROUND(420*Belarus*(1-B57),2)&amp;" "</f>
        <v xml:space="preserve">420 </v>
      </c>
      <c r="AD12" s="249" t="str">
        <f>ROUND(428*Belarus*(1-B57),2)&amp;" "</f>
        <v xml:space="preserve">428 </v>
      </c>
      <c r="AE12" s="249">
        <f>ROUND(354*Belarus*(1-B57),2)</f>
        <v>354</v>
      </c>
      <c r="AF12" s="90" t="str">
        <f>ROUND(499*Belarus*(1-B57),2)&amp;" "</f>
        <v xml:space="preserve">499 </v>
      </c>
      <c r="AG12" s="90" t="str">
        <f>ROUND(392*Belarus*(1-B57),2)&amp;" "</f>
        <v xml:space="preserve">392 </v>
      </c>
      <c r="AH12" s="90" t="str">
        <f>ROUND(370*Belarus*(1-B57),2)&amp;" "</f>
        <v xml:space="preserve">370 </v>
      </c>
      <c r="AI12" s="87" t="str">
        <f>ROUND(547*Belarus*(1-B57),2)&amp;" "</f>
        <v xml:space="preserve">547 </v>
      </c>
    </row>
    <row r="13" spans="1:35" ht="28.5" customHeight="1">
      <c r="A13" s="1038" t="s">
        <v>2574</v>
      </c>
      <c r="B13" s="90">
        <v>140</v>
      </c>
      <c r="C13" s="163">
        <f>ROUND(251*Belarus*(1-B57),2)</f>
        <v>251</v>
      </c>
      <c r="D13" s="87">
        <f>ROUND(211*Belarus*(1-B57),2)</f>
        <v>211</v>
      </c>
      <c r="E13" s="87">
        <f>ROUND(220*Belarus*(1-B57),2)</f>
        <v>220</v>
      </c>
      <c r="F13" s="468">
        <f>ROUND(236*Belarus*(1-B57),2)</f>
        <v>236</v>
      </c>
      <c r="G13" s="90">
        <f>ROUND(198*Belarus*(1-B57),2)</f>
        <v>198</v>
      </c>
      <c r="H13" s="90">
        <f>ROUND(190*Belarus*(1-B57),2)</f>
        <v>190</v>
      </c>
      <c r="I13" s="90">
        <f>ROUND(181*Belarus*(1-B57),2)</f>
        <v>181</v>
      </c>
      <c r="J13" s="87">
        <f>ROUND(308*Belarus*(1-B57),2)</f>
        <v>308</v>
      </c>
      <c r="K13" s="87">
        <f>ROUND(184*Belarus*(1-B57),2)</f>
        <v>184</v>
      </c>
      <c r="L13" s="87">
        <f>ROUND(188*Belarus*(1-B57),2)</f>
        <v>188</v>
      </c>
      <c r="M13" s="87">
        <f>ROUND(184*Belarus*(1-B57),2)</f>
        <v>184</v>
      </c>
      <c r="N13" s="90">
        <f>ROUND(215*Belarus*(1-B57),2)</f>
        <v>215</v>
      </c>
      <c r="O13" s="90">
        <f>ROUND(171*Belarus*(1-B57),2)</f>
        <v>171</v>
      </c>
      <c r="P13" s="90">
        <f>ROUND(161*Belarus*(1-B57),2)</f>
        <v>161</v>
      </c>
      <c r="Q13" s="87">
        <f>ROUND(235*Belarus*(1-B57),2)</f>
        <v>235</v>
      </c>
      <c r="S13" s="211" t="s">
        <v>2432</v>
      </c>
      <c r="T13" s="90">
        <v>80</v>
      </c>
      <c r="U13" s="163" t="str">
        <f>ROUND(168*Belarus*(1-B57),2)&amp;" "</f>
        <v xml:space="preserve">168 </v>
      </c>
      <c r="V13" s="87" t="str">
        <f>ROUND(136*Belarus*(1-B57),2)&amp;" "</f>
        <v xml:space="preserve">136 </v>
      </c>
      <c r="W13" s="87" t="str">
        <f>ROUND(140*Belarus*(1-B57),2)&amp;" "</f>
        <v xml:space="preserve">140 </v>
      </c>
      <c r="X13" s="468" t="str">
        <f>ROUND(160*Belarus*(1-B57),2)&amp;" "</f>
        <v xml:space="preserve">160 </v>
      </c>
      <c r="Y13" s="90" t="str">
        <f>ROUND(136*Belarus*(1-B57),2)&amp;" "</f>
        <v xml:space="preserve">136 </v>
      </c>
      <c r="Z13" s="90" t="str">
        <f>ROUND(130*Belarus*(1-B57),2)&amp;" "</f>
        <v xml:space="preserve">130 </v>
      </c>
      <c r="AA13" s="90" t="str">
        <f>ROUND(118*Belarus*(1-B57),2)&amp;" "</f>
        <v xml:space="preserve">118 </v>
      </c>
      <c r="AB13" s="87" t="str">
        <f>ROUND(192*Belarus*(1-B57),2)&amp;" "</f>
        <v xml:space="preserve">192 </v>
      </c>
      <c r="AC13" s="87" t="str">
        <f>ROUND(125*Belarus*(1-B57),2)&amp;" "</f>
        <v xml:space="preserve">125 </v>
      </c>
      <c r="AD13" s="249" t="str">
        <f>ROUND(127*Belarus*(1-B57),2)&amp;" "</f>
        <v xml:space="preserve">127 </v>
      </c>
      <c r="AE13" s="249">
        <f>ROUND(105*Belarus*(1-B57),2)</f>
        <v>105</v>
      </c>
      <c r="AF13" s="90" t="str">
        <f>ROUND(143*Belarus*(1-B57),2)&amp;" "</f>
        <v xml:space="preserve">143 </v>
      </c>
      <c r="AG13" s="90" t="str">
        <f>ROUND(118*Belarus*(1-B57),2)&amp;" "</f>
        <v xml:space="preserve">118 </v>
      </c>
      <c r="AH13" s="90" t="str">
        <f>ROUND(112*Belarus*(1-B57),2)&amp;" "</f>
        <v xml:space="preserve">112 </v>
      </c>
      <c r="AI13" s="87" t="str">
        <f>ROUND(158*Belarus*(1-B57),2)&amp;" "</f>
        <v xml:space="preserve">158 </v>
      </c>
    </row>
    <row r="14" spans="1:35" ht="30" customHeight="1">
      <c r="A14" s="1039" t="s">
        <v>2575</v>
      </c>
      <c r="B14" s="162">
        <v>160</v>
      </c>
      <c r="C14" s="163">
        <f>ROUND(284*Belarus*(1-B57),2)</f>
        <v>284</v>
      </c>
      <c r="D14" s="87">
        <f>ROUND(239*Belarus*(1-B57),2)</f>
        <v>239</v>
      </c>
      <c r="E14" s="87">
        <f>ROUND(251*Belarus*(1-B57),2)</f>
        <v>251</v>
      </c>
      <c r="F14" s="468">
        <f>ROUND(269*Belarus*(1-B57),2)</f>
        <v>269</v>
      </c>
      <c r="G14" s="90">
        <f>ROUND(224*Belarus*(1-B57),2)</f>
        <v>224</v>
      </c>
      <c r="H14" s="90">
        <f>ROUND(215*Belarus*(1-B57),2)</f>
        <v>215</v>
      </c>
      <c r="I14" s="90">
        <f>ROUND(205*Belarus*(1-B57),2)</f>
        <v>205</v>
      </c>
      <c r="J14" s="87">
        <f>ROUND(350*Belarus*(1-B57),2)</f>
        <v>350</v>
      </c>
      <c r="K14" s="87">
        <f>ROUND(208*Belarus*(1-B57),2)</f>
        <v>208</v>
      </c>
      <c r="L14" s="87">
        <f>ROUND(213*Belarus*(1-B57),2)</f>
        <v>213</v>
      </c>
      <c r="M14" s="87">
        <f>ROUND(208*Belarus*(1-B57),2)</f>
        <v>208</v>
      </c>
      <c r="N14" s="90">
        <f>ROUND(244*Belarus*(1-B57),2)</f>
        <v>244</v>
      </c>
      <c r="O14" s="90">
        <f>ROUND(193*Belarus*(1-B57),2)</f>
        <v>193</v>
      </c>
      <c r="P14" s="90">
        <f>ROUND(182*Belarus*(1-B57),2)</f>
        <v>182</v>
      </c>
      <c r="Q14" s="87">
        <f>ROUND(267*Belarus*(1-B57),2)</f>
        <v>267</v>
      </c>
      <c r="S14" s="1038" t="s">
        <v>2433</v>
      </c>
      <c r="T14" s="90">
        <v>80</v>
      </c>
      <c r="U14" s="163">
        <f>ROUND(140*Belarus*(1-B57),2)</f>
        <v>140</v>
      </c>
      <c r="V14" s="87">
        <f>ROUND(120*Belarus*(1-B57),2)</f>
        <v>120</v>
      </c>
      <c r="W14" s="87">
        <f>ROUND(125*Belarus*(1-B57),2)</f>
        <v>125</v>
      </c>
      <c r="X14" s="468">
        <f>ROUND(133*Belarus*(1-B57),2)</f>
        <v>133</v>
      </c>
      <c r="Y14" s="90">
        <f>ROUND(113*Belarus*(1-B57),2)</f>
        <v>113</v>
      </c>
      <c r="Z14" s="90">
        <f>ROUND(108*Belarus*(1-B57),2)</f>
        <v>108</v>
      </c>
      <c r="AA14" s="90">
        <f>ROUND(104*Belarus*(1-B57),2)</f>
        <v>104</v>
      </c>
      <c r="AB14" s="87">
        <f>ROUND(171*Belarus*(1-B57),2)</f>
        <v>171</v>
      </c>
      <c r="AC14" s="87">
        <f>ROUND(105*Belarus*(1-B57),2)</f>
        <v>105</v>
      </c>
      <c r="AD14" s="249">
        <f>ROUND(107*Belarus*(1-B57),2)</f>
        <v>107</v>
      </c>
      <c r="AE14" s="249">
        <f>ROUND(105*Belarus*(1-B57),2)</f>
        <v>105</v>
      </c>
      <c r="AF14" s="90">
        <f>ROUND(119*Belarus*(1-B57),2)</f>
        <v>119</v>
      </c>
      <c r="AG14" s="90">
        <f>ROUND(98*Belarus*(1-B57),2)</f>
        <v>98</v>
      </c>
      <c r="AH14" s="90">
        <f>ROUND(93*Belarus*(1-B57),2)</f>
        <v>93</v>
      </c>
      <c r="AI14" s="87">
        <f>ROUND(132*Belarus*(1-B57),2)</f>
        <v>132</v>
      </c>
    </row>
    <row r="15" spans="1:35" ht="30" customHeight="1">
      <c r="A15" s="1038" t="s">
        <v>2576</v>
      </c>
      <c r="B15" s="90">
        <v>160</v>
      </c>
      <c r="C15" s="163">
        <f t="shared" ref="C15:Q15" si="1">C14</f>
        <v>284</v>
      </c>
      <c r="D15" s="163">
        <f t="shared" si="1"/>
        <v>239</v>
      </c>
      <c r="E15" s="163">
        <f t="shared" si="1"/>
        <v>251</v>
      </c>
      <c r="F15" s="468">
        <f t="shared" si="1"/>
        <v>269</v>
      </c>
      <c r="G15" s="468">
        <f t="shared" si="1"/>
        <v>224</v>
      </c>
      <c r="H15" s="468">
        <f t="shared" si="1"/>
        <v>215</v>
      </c>
      <c r="I15" s="468">
        <f t="shared" si="1"/>
        <v>205</v>
      </c>
      <c r="J15" s="87">
        <f t="shared" si="1"/>
        <v>350</v>
      </c>
      <c r="K15" s="87">
        <f t="shared" si="1"/>
        <v>208</v>
      </c>
      <c r="L15" s="87">
        <f t="shared" si="1"/>
        <v>213</v>
      </c>
      <c r="M15" s="87">
        <f>M14</f>
        <v>208</v>
      </c>
      <c r="N15" s="90">
        <f t="shared" si="1"/>
        <v>244</v>
      </c>
      <c r="O15" s="90">
        <f t="shared" si="1"/>
        <v>193</v>
      </c>
      <c r="P15" s="90">
        <f t="shared" si="1"/>
        <v>182</v>
      </c>
      <c r="Q15" s="87">
        <f t="shared" si="1"/>
        <v>267</v>
      </c>
      <c r="S15" s="211" t="s">
        <v>2434</v>
      </c>
      <c r="T15" s="90">
        <v>208</v>
      </c>
      <c r="U15" s="163" t="str">
        <f>ROUND(395*Belarus*(1-B57),2)&amp;" "</f>
        <v xml:space="preserve">395 </v>
      </c>
      <c r="V15" s="87" t="str">
        <f>ROUND(312*Belarus*(1-B57),2)&amp;" "</f>
        <v xml:space="preserve">312 </v>
      </c>
      <c r="W15" s="87" t="str">
        <f>ROUND(325*Belarus*(1-B57),2)&amp;" "</f>
        <v xml:space="preserve">325 </v>
      </c>
      <c r="X15" s="468" t="str">
        <f>ROUND(373*Belarus*(1-B57),2)&amp;" "</f>
        <v xml:space="preserve">373 </v>
      </c>
      <c r="Y15" s="90" t="str">
        <f>ROUND(312*Belarus*(1-B57),2)&amp;" "</f>
        <v xml:space="preserve">312 </v>
      </c>
      <c r="Z15" s="90" t="str">
        <f>ROUND(299*Belarus*(1-B57),2)&amp;" "</f>
        <v xml:space="preserve">299 </v>
      </c>
      <c r="AA15" s="90" t="str">
        <f>ROUND(265*Belarus*(1-B57),2)&amp;" "</f>
        <v xml:space="preserve">265 </v>
      </c>
      <c r="AB15" s="87" t="str">
        <f>ROUND(454*Belarus*(1-B57),2)&amp;" "</f>
        <v xml:space="preserve">454 </v>
      </c>
      <c r="AC15" s="87" t="str">
        <f>ROUND(286*Belarus*(1-B57),2)&amp;" "</f>
        <v xml:space="preserve">286 </v>
      </c>
      <c r="AD15" s="249" t="str">
        <f>ROUND(293*Belarus*(1-B57),2)&amp;" "</f>
        <v xml:space="preserve">293 </v>
      </c>
      <c r="AE15" s="249">
        <f>ROUND(240*Belarus*(1-B57),2)</f>
        <v>240</v>
      </c>
      <c r="AF15" s="90" t="str">
        <f>ROUND(330*Belarus*(1-B57),2)&amp;" "</f>
        <v xml:space="preserve">330 </v>
      </c>
      <c r="AG15" s="90" t="str">
        <f>ROUND(266*Belarus*(1-B57),2)&amp;" "</f>
        <v xml:space="preserve">266 </v>
      </c>
      <c r="AH15" s="90" t="str">
        <f>ROUND(252*Belarus*(1-B57),2)&amp;" "</f>
        <v xml:space="preserve">252 </v>
      </c>
      <c r="AI15" s="87" t="str">
        <f>ROUND(371*Belarus*(1-B57),2)&amp;" "</f>
        <v xml:space="preserve">371 </v>
      </c>
    </row>
    <row r="16" spans="1:35" ht="15.75" customHeight="1">
      <c r="A16" s="950" t="s">
        <v>5409</v>
      </c>
      <c r="B16" s="951"/>
      <c r="C16" s="951"/>
      <c r="D16" s="951"/>
      <c r="E16" s="951"/>
      <c r="F16" s="951"/>
      <c r="G16" s="951"/>
      <c r="H16" s="951"/>
      <c r="I16" s="951"/>
      <c r="J16" s="951"/>
      <c r="K16" s="951"/>
      <c r="L16" s="951"/>
      <c r="M16" s="951"/>
      <c r="N16" s="951"/>
      <c r="O16" s="951"/>
      <c r="P16" s="951"/>
      <c r="Q16" s="952"/>
      <c r="S16" s="1038" t="s">
        <v>2435</v>
      </c>
      <c r="T16" s="90">
        <v>250</v>
      </c>
      <c r="U16" s="163">
        <f>ROUND(392*Belarus*(1-B57),2)</f>
        <v>392</v>
      </c>
      <c r="V16" s="87">
        <f>ROUND(330*Belarus*(1-B57),2)</f>
        <v>330</v>
      </c>
      <c r="W16" s="87">
        <f>ROUND(345*Belarus*(1-B57),2)</f>
        <v>345</v>
      </c>
      <c r="X16" s="468">
        <f>ROUND(370*Belarus*(1-B57),2)</f>
        <v>370</v>
      </c>
      <c r="Y16" s="90">
        <f>ROUND(309*Belarus*(1-B57),2)</f>
        <v>309</v>
      </c>
      <c r="Z16" s="90">
        <f>ROUND(295*Belarus*(1-B57),2)</f>
        <v>295</v>
      </c>
      <c r="AA16" s="90">
        <f>ROUND(282*Belarus*(1-B57),2)</f>
        <v>282</v>
      </c>
      <c r="AB16" s="87">
        <f>ROUND(484*Belarus*(1-B57),2)</f>
        <v>484</v>
      </c>
      <c r="AC16" s="87">
        <f>ROUND(287*Belarus*(1-B57),2)</f>
        <v>287</v>
      </c>
      <c r="AD16" s="249">
        <f>ROUND(293*Belarus*(1-B57),2)</f>
        <v>293</v>
      </c>
      <c r="AE16" s="249">
        <f>ROUND(286*Belarus*(1-B57),2)</f>
        <v>286</v>
      </c>
      <c r="AF16" s="90">
        <f>ROUND(327*Belarus*(1-B57),2)</f>
        <v>327</v>
      </c>
      <c r="AG16" s="90">
        <f>ROUND(265*Belarus*(1-B57),2)</f>
        <v>265</v>
      </c>
      <c r="AH16" s="90">
        <f>ROUND(250*Belarus*(1-B57),2)</f>
        <v>250</v>
      </c>
      <c r="AI16" s="87">
        <f>ROUND(367*Belarus*(1-B57),2)</f>
        <v>367</v>
      </c>
    </row>
    <row r="17" spans="1:35" ht="28.5" customHeight="1">
      <c r="A17" s="1039" t="s">
        <v>5391</v>
      </c>
      <c r="B17" s="90">
        <v>113</v>
      </c>
      <c r="C17" s="163">
        <f>ROUND(186*Belarus*(1-B57),2)</f>
        <v>186</v>
      </c>
      <c r="D17" s="87">
        <f>ROUND(158*Belarus*(1-B57),2)</f>
        <v>158</v>
      </c>
      <c r="E17" s="87">
        <f>ROUND(164*Belarus*(1-B57),2)</f>
        <v>164</v>
      </c>
      <c r="F17" s="468">
        <f>ROUND(176*Belarus*(1-B57),2)</f>
        <v>176</v>
      </c>
      <c r="G17" s="90">
        <f>ROUND(148*Belarus*(1-B57),2)</f>
        <v>148</v>
      </c>
      <c r="H17" s="90">
        <f>ROUND(142*Belarus*(1-B57),2)</f>
        <v>142</v>
      </c>
      <c r="I17" s="90">
        <f>ROUND(136*Belarus*(1-B57),2)</f>
        <v>136</v>
      </c>
      <c r="J17" s="87">
        <f>ROUND(228*Belarus*(1-B57),2)</f>
        <v>228</v>
      </c>
      <c r="K17" s="87">
        <f>ROUND(138*Belarus*(1-B57),2)</f>
        <v>138</v>
      </c>
      <c r="L17" s="87">
        <f>ROUND(141*Belarus*(1-B57),2)</f>
        <v>141</v>
      </c>
      <c r="M17" s="87">
        <f>ROUND(138*Belarus*(1-B57),2)</f>
        <v>138</v>
      </c>
      <c r="N17" s="90" t="s">
        <v>369</v>
      </c>
      <c r="O17" s="90">
        <f>ROUND(128*Belarus*(1-B57),2)</f>
        <v>128</v>
      </c>
      <c r="P17" s="90">
        <f>ROUND(121*Belarus*(1-B57),2)</f>
        <v>121</v>
      </c>
      <c r="Q17" s="87">
        <f>ROUND(175*Belarus*(1-B57),2)</f>
        <v>175</v>
      </c>
      <c r="S17" s="211" t="s">
        <v>2436</v>
      </c>
      <c r="T17" s="90">
        <v>80</v>
      </c>
      <c r="U17" s="163">
        <f>U14</f>
        <v>140</v>
      </c>
      <c r="V17" s="87">
        <f t="shared" ref="V17:AI17" si="2">V14</f>
        <v>120</v>
      </c>
      <c r="W17" s="87">
        <f t="shared" si="2"/>
        <v>125</v>
      </c>
      <c r="X17" s="468">
        <f t="shared" si="2"/>
        <v>133</v>
      </c>
      <c r="Y17" s="90">
        <f t="shared" si="2"/>
        <v>113</v>
      </c>
      <c r="Z17" s="90">
        <f t="shared" si="2"/>
        <v>108</v>
      </c>
      <c r="AA17" s="90">
        <f t="shared" si="2"/>
        <v>104</v>
      </c>
      <c r="AB17" s="87">
        <f t="shared" si="2"/>
        <v>171</v>
      </c>
      <c r="AC17" s="87">
        <f t="shared" si="2"/>
        <v>105</v>
      </c>
      <c r="AD17" s="249">
        <f t="shared" si="2"/>
        <v>107</v>
      </c>
      <c r="AE17" s="249">
        <f t="shared" si="2"/>
        <v>105</v>
      </c>
      <c r="AF17" s="90">
        <f t="shared" si="2"/>
        <v>119</v>
      </c>
      <c r="AG17" s="90">
        <f t="shared" si="2"/>
        <v>98</v>
      </c>
      <c r="AH17" s="90">
        <f t="shared" si="2"/>
        <v>93</v>
      </c>
      <c r="AI17" s="87">
        <f t="shared" si="2"/>
        <v>132</v>
      </c>
    </row>
    <row r="18" spans="1:35" ht="28.5" customHeight="1">
      <c r="A18" s="1039" t="s">
        <v>5392</v>
      </c>
      <c r="B18" s="90">
        <v>56</v>
      </c>
      <c r="C18" s="163">
        <f>ROUND(101*Belarus*(1-B57),2)</f>
        <v>101</v>
      </c>
      <c r="D18" s="87">
        <f>ROUND(87*Belarus*(1-B57),2)</f>
        <v>87</v>
      </c>
      <c r="E18" s="87">
        <f>ROUND(90*Belarus*(1-B57),2)</f>
        <v>90</v>
      </c>
      <c r="F18" s="468">
        <f>ROUND(96*Belarus*(1-B57),2)</f>
        <v>96</v>
      </c>
      <c r="G18" s="90">
        <f>ROUND(82*Belarus*(1-B57),2)</f>
        <v>82</v>
      </c>
      <c r="H18" s="90">
        <f>ROUND(78*Belarus*(1-B57),2)</f>
        <v>78</v>
      </c>
      <c r="I18" s="90">
        <f>ROUND(75*Belarus*(1-B57),2)</f>
        <v>75</v>
      </c>
      <c r="J18" s="87">
        <f>ROUND(121*Belarus*(1-B57),2)</f>
        <v>121</v>
      </c>
      <c r="K18" s="87">
        <f>ROUND(76*Belarus*(1-B57),2)</f>
        <v>76</v>
      </c>
      <c r="L18" s="87">
        <f>ROUND(77*Belarus*(1-B57),2)</f>
        <v>77</v>
      </c>
      <c r="M18" s="87">
        <f>ROUND(76*Belarus*(1-B57),2)</f>
        <v>76</v>
      </c>
      <c r="N18" s="90" t="s">
        <v>369</v>
      </c>
      <c r="O18" s="90">
        <f>ROUND(71*Belarus*(1-B57),2)</f>
        <v>71</v>
      </c>
      <c r="P18" s="90">
        <f>ROUND(67*Belarus*(1-B57),2)</f>
        <v>67</v>
      </c>
      <c r="Q18" s="87">
        <f>ROUND(95*Belarus*(1-B57),2)</f>
        <v>95</v>
      </c>
      <c r="S18" s="1038" t="s">
        <v>2437</v>
      </c>
      <c r="T18" s="90">
        <v>250</v>
      </c>
      <c r="U18" s="163">
        <f>U16</f>
        <v>392</v>
      </c>
      <c r="V18" s="87">
        <f t="shared" ref="V18:AI18" si="3">V16</f>
        <v>330</v>
      </c>
      <c r="W18" s="87">
        <f t="shared" si="3"/>
        <v>345</v>
      </c>
      <c r="X18" s="468">
        <f t="shared" si="3"/>
        <v>370</v>
      </c>
      <c r="Y18" s="90">
        <f t="shared" si="3"/>
        <v>309</v>
      </c>
      <c r="Z18" s="90">
        <f t="shared" si="3"/>
        <v>295</v>
      </c>
      <c r="AA18" s="90">
        <f t="shared" si="3"/>
        <v>282</v>
      </c>
      <c r="AB18" s="87">
        <f t="shared" si="3"/>
        <v>484</v>
      </c>
      <c r="AC18" s="87">
        <f t="shared" si="3"/>
        <v>287</v>
      </c>
      <c r="AD18" s="249">
        <f t="shared" si="3"/>
        <v>293</v>
      </c>
      <c r="AE18" s="249">
        <f t="shared" si="3"/>
        <v>286</v>
      </c>
      <c r="AF18" s="90">
        <f t="shared" si="3"/>
        <v>327</v>
      </c>
      <c r="AG18" s="90">
        <f t="shared" si="3"/>
        <v>265</v>
      </c>
      <c r="AH18" s="90">
        <f t="shared" si="3"/>
        <v>250</v>
      </c>
      <c r="AI18" s="87">
        <f t="shared" si="3"/>
        <v>367</v>
      </c>
    </row>
    <row r="19" spans="1:35" ht="28.5" customHeight="1">
      <c r="A19" s="1039" t="s">
        <v>5393</v>
      </c>
      <c r="B19" s="90">
        <v>230</v>
      </c>
      <c r="C19" s="163">
        <f>ROUND(392*Belarus*(1-B57),2)</f>
        <v>392</v>
      </c>
      <c r="D19" s="87">
        <f>ROUND(330*Belarus*(1-B57),2)</f>
        <v>330</v>
      </c>
      <c r="E19" s="87">
        <f>ROUND(345*Belarus*(1-B57),2)</f>
        <v>345</v>
      </c>
      <c r="F19" s="468">
        <f>ROUND(370*Belarus*(1-B57),2)</f>
        <v>370</v>
      </c>
      <c r="G19" s="90">
        <f>ROUND(309*Belarus*(1-B57),2)</f>
        <v>309</v>
      </c>
      <c r="H19" s="90">
        <f>ROUND(295*Belarus*(1-B57),2)</f>
        <v>295</v>
      </c>
      <c r="I19" s="90">
        <f>ROUND(282*Belarus*(1-B57),2)</f>
        <v>282</v>
      </c>
      <c r="J19" s="87">
        <f>ROUND(484*Belarus*(1-B57),2)</f>
        <v>484</v>
      </c>
      <c r="K19" s="87">
        <f>ROUND(287*Belarus*(1-B57),2)</f>
        <v>287</v>
      </c>
      <c r="L19" s="87">
        <f>ROUND(293*Belarus*(1-B57),2)</f>
        <v>293</v>
      </c>
      <c r="M19" s="87">
        <f>ROUND(286*Belarus*(1-B57),2)</f>
        <v>286</v>
      </c>
      <c r="N19" s="90" t="s">
        <v>369</v>
      </c>
      <c r="O19" s="90">
        <f>ROUND(265*Belarus*(1-B57),2)</f>
        <v>265</v>
      </c>
      <c r="P19" s="90">
        <f>ROUND(250*Belarus*(1-B57),2)</f>
        <v>250</v>
      </c>
      <c r="Q19" s="87">
        <f>ROUND(367*Belarus*(1-B57),2)</f>
        <v>367</v>
      </c>
      <c r="S19" s="211" t="s">
        <v>2438</v>
      </c>
      <c r="T19" s="90">
        <v>80</v>
      </c>
      <c r="U19" s="163">
        <f>U14</f>
        <v>140</v>
      </c>
      <c r="V19" s="87">
        <f t="shared" ref="V19:AI19" si="4">V14</f>
        <v>120</v>
      </c>
      <c r="W19" s="87">
        <f t="shared" si="4"/>
        <v>125</v>
      </c>
      <c r="X19" s="468">
        <f t="shared" si="4"/>
        <v>133</v>
      </c>
      <c r="Y19" s="90">
        <f t="shared" si="4"/>
        <v>113</v>
      </c>
      <c r="Z19" s="90">
        <f t="shared" si="4"/>
        <v>108</v>
      </c>
      <c r="AA19" s="90">
        <f t="shared" si="4"/>
        <v>104</v>
      </c>
      <c r="AB19" s="87">
        <f t="shared" si="4"/>
        <v>171</v>
      </c>
      <c r="AC19" s="87">
        <f t="shared" si="4"/>
        <v>105</v>
      </c>
      <c r="AD19" s="249">
        <f t="shared" si="4"/>
        <v>107</v>
      </c>
      <c r="AE19" s="249">
        <f t="shared" si="4"/>
        <v>105</v>
      </c>
      <c r="AF19" s="90">
        <f t="shared" si="4"/>
        <v>119</v>
      </c>
      <c r="AG19" s="90">
        <f t="shared" si="4"/>
        <v>98</v>
      </c>
      <c r="AH19" s="90">
        <f t="shared" si="4"/>
        <v>93</v>
      </c>
      <c r="AI19" s="87">
        <f t="shared" si="4"/>
        <v>132</v>
      </c>
    </row>
    <row r="20" spans="1:35" ht="33" customHeight="1">
      <c r="A20" s="1038" t="s">
        <v>5395</v>
      </c>
      <c r="B20" s="90">
        <v>312</v>
      </c>
      <c r="C20" s="163">
        <f>ROUND(486*Belarus*(1-B57),2)</f>
        <v>486</v>
      </c>
      <c r="D20" s="87">
        <f>ROUND(409*Belarus*(1-B57),2)</f>
        <v>409</v>
      </c>
      <c r="E20" s="87">
        <f>ROUND(428*Belarus*(1-B57),2)</f>
        <v>428</v>
      </c>
      <c r="F20" s="468">
        <f>ROUND(460*Belarus*(1-B57),2)</f>
        <v>460</v>
      </c>
      <c r="G20" s="90">
        <f>ROUND(382*Belarus*(1-B57),2)</f>
        <v>382</v>
      </c>
      <c r="H20" s="90">
        <f>ROUND(365*Belarus*(1-B57),2)</f>
        <v>365</v>
      </c>
      <c r="I20" s="90">
        <f>ROUND(348*Belarus*(1-B57),2)</f>
        <v>348</v>
      </c>
      <c r="J20" s="87">
        <f>ROUND(602*Belarus*(1-B57),2)</f>
        <v>602</v>
      </c>
      <c r="K20" s="87">
        <f>ROUND(354*Belarus*(1-B57),2)</f>
        <v>354</v>
      </c>
      <c r="L20" s="87">
        <f>ROUND(362*Belarus*(1-B57),2)</f>
        <v>362</v>
      </c>
      <c r="M20" s="87">
        <f>ROUND(354*Belarus*(1-B57),2)</f>
        <v>354</v>
      </c>
      <c r="N20" s="90" t="s">
        <v>369</v>
      </c>
      <c r="O20" s="90">
        <f>ROUND(300*Belarus*(1-B57),2)</f>
        <v>300</v>
      </c>
      <c r="P20" s="90">
        <f>ROUND(308*Belarus*(1-B57),2)</f>
        <v>308</v>
      </c>
      <c r="Q20" s="87">
        <f>ROUND(456*Belarus*(1-B57),2)</f>
        <v>456</v>
      </c>
      <c r="S20" s="1038" t="s">
        <v>2439</v>
      </c>
      <c r="T20" s="90">
        <v>312</v>
      </c>
      <c r="U20" s="163">
        <f>ROUND(486*Belarus*(1-B57),2)</f>
        <v>486</v>
      </c>
      <c r="V20" s="87">
        <f>ROUND(409*Belarus*(1-B57),2)</f>
        <v>409</v>
      </c>
      <c r="W20" s="87">
        <f>ROUND(428*Belarus*(1-B57),2)</f>
        <v>428</v>
      </c>
      <c r="X20" s="468">
        <f>ROUND(460*Belarus*(1-B57),2)</f>
        <v>460</v>
      </c>
      <c r="Y20" s="90">
        <f>ROUND(382*Belarus*(1-B57),2)</f>
        <v>382</v>
      </c>
      <c r="Z20" s="90">
        <f>ROUND(365*Belarus*(1-B57),2)</f>
        <v>365</v>
      </c>
      <c r="AA20" s="90">
        <f>ROUND(348*Belarus*(1-B57),2)</f>
        <v>348</v>
      </c>
      <c r="AB20" s="87">
        <f>ROUND(602*Belarus*(1-B57),2)</f>
        <v>602</v>
      </c>
      <c r="AC20" s="87">
        <f>ROUND(354*Belarus*(1-B57),2)</f>
        <v>354</v>
      </c>
      <c r="AD20" s="249">
        <f>ROUND(362*Belarus*(1-B57),2)</f>
        <v>362</v>
      </c>
      <c r="AE20" s="249">
        <f>ROUND(354*Belarus*(1-B57),2)</f>
        <v>354</v>
      </c>
      <c r="AF20" s="90">
        <f>ROUND(416*Belarus*(1-B57),2)</f>
        <v>416</v>
      </c>
      <c r="AG20" s="90">
        <f>ROUND(327*Belarus*(1-B57),2)</f>
        <v>327</v>
      </c>
      <c r="AH20" s="90">
        <f>ROUND(308*Belarus*(1-B57),2)</f>
        <v>308</v>
      </c>
      <c r="AI20" s="87">
        <f>ROUND(456*Belarus*(1-B57),2)</f>
        <v>456</v>
      </c>
    </row>
    <row r="21" spans="1:35" ht="30.75" customHeight="1">
      <c r="A21" s="1038" t="s">
        <v>5394</v>
      </c>
      <c r="B21" s="90">
        <v>230</v>
      </c>
      <c r="C21" s="163">
        <f>ROUND(392*Belarus*(1-B57),2)</f>
        <v>392</v>
      </c>
      <c r="D21" s="87">
        <f>ROUND(330*Belarus*(1-B57),2)</f>
        <v>330</v>
      </c>
      <c r="E21" s="87">
        <f>ROUND(345*Belarus*(1-B57),2)</f>
        <v>345</v>
      </c>
      <c r="F21" s="468">
        <f>ROUND(370*Belarus*(1-B57),2)</f>
        <v>370</v>
      </c>
      <c r="G21" s="90">
        <f>ROUND(309*Belarus*(1-B57),2)</f>
        <v>309</v>
      </c>
      <c r="H21" s="90">
        <f>ROUND(295*Belarus*(1-B57),2)</f>
        <v>295</v>
      </c>
      <c r="I21" s="90">
        <f>ROUND(282*Belarus*(1-B57),2)</f>
        <v>282</v>
      </c>
      <c r="J21" s="87">
        <f>ROUND(484*Belarus*(1-B57),2)</f>
        <v>484</v>
      </c>
      <c r="K21" s="87">
        <f>ROUND(287*Belarus*(1-B57),2)</f>
        <v>287</v>
      </c>
      <c r="L21" s="87">
        <f>ROUND(293*Belarus*(1-B57),2)</f>
        <v>293</v>
      </c>
      <c r="M21" s="87">
        <f>ROUND(286*Belarus*(1-B57),2)</f>
        <v>286</v>
      </c>
      <c r="N21" s="90" t="s">
        <v>369</v>
      </c>
      <c r="O21" s="90">
        <f>ROUND(265*Belarus*(1-B57),2)</f>
        <v>265</v>
      </c>
      <c r="P21" s="90">
        <f>ROUND(250*Belarus*(1-B57),2)</f>
        <v>250</v>
      </c>
      <c r="Q21" s="87">
        <f>ROUND(367*Belarus*(1-B57),2)</f>
        <v>367</v>
      </c>
      <c r="S21" s="211" t="s">
        <v>2440</v>
      </c>
      <c r="T21" s="90">
        <v>250</v>
      </c>
      <c r="U21" s="163">
        <f>U16</f>
        <v>392</v>
      </c>
      <c r="V21" s="87">
        <f t="shared" ref="V21:AI21" si="5">V16</f>
        <v>330</v>
      </c>
      <c r="W21" s="87">
        <f t="shared" si="5"/>
        <v>345</v>
      </c>
      <c r="X21" s="468">
        <f t="shared" si="5"/>
        <v>370</v>
      </c>
      <c r="Y21" s="90">
        <f t="shared" si="5"/>
        <v>309</v>
      </c>
      <c r="Z21" s="90">
        <f t="shared" si="5"/>
        <v>295</v>
      </c>
      <c r="AA21" s="90">
        <f t="shared" si="5"/>
        <v>282</v>
      </c>
      <c r="AB21" s="87">
        <f t="shared" si="5"/>
        <v>484</v>
      </c>
      <c r="AC21" s="87">
        <f t="shared" si="5"/>
        <v>287</v>
      </c>
      <c r="AD21" s="249">
        <f t="shared" si="5"/>
        <v>293</v>
      </c>
      <c r="AE21" s="249">
        <f t="shared" si="5"/>
        <v>286</v>
      </c>
      <c r="AF21" s="90">
        <f t="shared" si="5"/>
        <v>327</v>
      </c>
      <c r="AG21" s="90">
        <f t="shared" si="5"/>
        <v>265</v>
      </c>
      <c r="AH21" s="90">
        <f t="shared" si="5"/>
        <v>250</v>
      </c>
      <c r="AI21" s="87">
        <f t="shared" si="5"/>
        <v>367</v>
      </c>
    </row>
    <row r="22" spans="1:35" ht="27" customHeight="1">
      <c r="A22" s="1038" t="s">
        <v>5396</v>
      </c>
      <c r="B22" s="90">
        <v>113</v>
      </c>
      <c r="C22" s="163">
        <f>ROUND(186*Belarus*(1-B57),2)</f>
        <v>186</v>
      </c>
      <c r="D22" s="87">
        <f>ROUND(158*Belarus*(1-B57),2)</f>
        <v>158</v>
      </c>
      <c r="E22" s="87">
        <f>ROUND(164*Belarus*(1-B57),2)</f>
        <v>164</v>
      </c>
      <c r="F22" s="468">
        <f>ROUND(176*Belarus*(1-B57),2)</f>
        <v>176</v>
      </c>
      <c r="G22" s="90">
        <f>ROUND(148*Belarus*(1-B57),2)</f>
        <v>148</v>
      </c>
      <c r="H22" s="90">
        <f>ROUND(142*Belarus*(1-B57),2)</f>
        <v>142</v>
      </c>
      <c r="I22" s="90">
        <f>ROUND(136*Belarus*(1-B57),2)</f>
        <v>136</v>
      </c>
      <c r="J22" s="87">
        <f>ROUND(228*Belarus*(1-B57),2)</f>
        <v>228</v>
      </c>
      <c r="K22" s="87">
        <f>ROUND(138*Belarus*(1-B57),2)</f>
        <v>138</v>
      </c>
      <c r="L22" s="87">
        <f>ROUND(141*Belarus*(1-B57),2)</f>
        <v>141</v>
      </c>
      <c r="M22" s="87">
        <f>ROUND(138*Belarus*(1-B57),2)</f>
        <v>138</v>
      </c>
      <c r="N22" s="90" t="s">
        <v>369</v>
      </c>
      <c r="O22" s="90">
        <f>ROUND(128*Belarus*(1-B57),2)</f>
        <v>128</v>
      </c>
      <c r="P22" s="90">
        <f>ROUND(121*Belarus*(1-B57),2)</f>
        <v>121</v>
      </c>
      <c r="Q22" s="87">
        <f>ROUND(175*Belarus*(1-B57),2)</f>
        <v>175</v>
      </c>
      <c r="S22" s="1039" t="s">
        <v>2577</v>
      </c>
      <c r="T22" s="90">
        <v>260</v>
      </c>
      <c r="U22" s="163">
        <f>U20</f>
        <v>486</v>
      </c>
      <c r="V22" s="87">
        <f t="shared" ref="V22:AI22" si="6">V20</f>
        <v>409</v>
      </c>
      <c r="W22" s="87">
        <f t="shared" si="6"/>
        <v>428</v>
      </c>
      <c r="X22" s="468">
        <f t="shared" si="6"/>
        <v>460</v>
      </c>
      <c r="Y22" s="90">
        <f t="shared" si="6"/>
        <v>382</v>
      </c>
      <c r="Z22" s="90">
        <f t="shared" si="6"/>
        <v>365</v>
      </c>
      <c r="AA22" s="90">
        <f t="shared" si="6"/>
        <v>348</v>
      </c>
      <c r="AB22" s="87">
        <f t="shared" si="6"/>
        <v>602</v>
      </c>
      <c r="AC22" s="87">
        <f t="shared" si="6"/>
        <v>354</v>
      </c>
      <c r="AD22" s="249">
        <f t="shared" si="6"/>
        <v>362</v>
      </c>
      <c r="AE22" s="249">
        <f t="shared" si="6"/>
        <v>354</v>
      </c>
      <c r="AF22" s="90">
        <f t="shared" si="6"/>
        <v>416</v>
      </c>
      <c r="AG22" s="90">
        <f t="shared" si="6"/>
        <v>327</v>
      </c>
      <c r="AH22" s="90">
        <f t="shared" si="6"/>
        <v>308</v>
      </c>
      <c r="AI22" s="87">
        <f t="shared" si="6"/>
        <v>456</v>
      </c>
    </row>
    <row r="23" spans="1:35" ht="27" customHeight="1">
      <c r="A23" s="1038" t="s">
        <v>5397</v>
      </c>
      <c r="B23" s="90">
        <v>330</v>
      </c>
      <c r="C23" s="163">
        <f>ROUND(644*Belarus*(1-B57),2)</f>
        <v>644</v>
      </c>
      <c r="D23" s="87">
        <f>ROUND(540*Belarus*(1-B57),2)</f>
        <v>540</v>
      </c>
      <c r="E23" s="87">
        <f>ROUND(564*Belarus*(1-B57),2)</f>
        <v>564</v>
      </c>
      <c r="F23" s="468">
        <f>ROUND(608*Belarus*(1-B57),2)</f>
        <v>608</v>
      </c>
      <c r="G23" s="90">
        <f>ROUND(504*Belarus*(1-B57),2)</f>
        <v>504</v>
      </c>
      <c r="H23" s="90">
        <f>ROUND(482*Belarus*(1-B57),2)</f>
        <v>482</v>
      </c>
      <c r="I23" s="90">
        <f>ROUND(460*Belarus*(1-B57),2)</f>
        <v>460</v>
      </c>
      <c r="J23" s="87">
        <f>ROUND(798*Belarus*(1-B57),2)</f>
        <v>798</v>
      </c>
      <c r="K23" s="87">
        <f>ROUND(468*Belarus*(1-B57),2)</f>
        <v>468</v>
      </c>
      <c r="L23" s="87">
        <f>ROUND(478*Belarus*(1-B57),2)</f>
        <v>478</v>
      </c>
      <c r="M23" s="87">
        <f>ROUND(467*Belarus*(1-B57),2)</f>
        <v>467</v>
      </c>
      <c r="N23" s="90" t="s">
        <v>369</v>
      </c>
      <c r="O23" s="90">
        <f>ROUND(432*Belarus*(1-B57),2)</f>
        <v>432</v>
      </c>
      <c r="P23" s="90">
        <f>ROUND(406*Belarus*(1-B57),2)</f>
        <v>406</v>
      </c>
      <c r="Q23" s="87">
        <f>ROUND(604*Belarus*(1-B57),2)</f>
        <v>604</v>
      </c>
      <c r="S23" s="1038" t="s">
        <v>2441</v>
      </c>
      <c r="T23" s="90">
        <v>285</v>
      </c>
      <c r="U23" s="163">
        <f>U20</f>
        <v>486</v>
      </c>
      <c r="V23" s="87">
        <f t="shared" ref="V23:AI23" si="7">V20</f>
        <v>409</v>
      </c>
      <c r="W23" s="87">
        <f t="shared" si="7"/>
        <v>428</v>
      </c>
      <c r="X23" s="468">
        <f t="shared" si="7"/>
        <v>460</v>
      </c>
      <c r="Y23" s="90">
        <f t="shared" si="7"/>
        <v>382</v>
      </c>
      <c r="Z23" s="90">
        <f t="shared" si="7"/>
        <v>365</v>
      </c>
      <c r="AA23" s="90">
        <f t="shared" si="7"/>
        <v>348</v>
      </c>
      <c r="AB23" s="87">
        <f t="shared" si="7"/>
        <v>602</v>
      </c>
      <c r="AC23" s="87">
        <f t="shared" si="7"/>
        <v>354</v>
      </c>
      <c r="AD23" s="249">
        <f t="shared" si="7"/>
        <v>362</v>
      </c>
      <c r="AE23" s="249">
        <f t="shared" si="7"/>
        <v>354</v>
      </c>
      <c r="AF23" s="90">
        <f t="shared" si="7"/>
        <v>416</v>
      </c>
      <c r="AG23" s="90">
        <f t="shared" si="7"/>
        <v>327</v>
      </c>
      <c r="AH23" s="90">
        <f t="shared" si="7"/>
        <v>308</v>
      </c>
      <c r="AI23" s="87">
        <f t="shared" si="7"/>
        <v>456</v>
      </c>
    </row>
    <row r="24" spans="1:35" ht="27" customHeight="1">
      <c r="A24" s="1038" t="s">
        <v>5398</v>
      </c>
      <c r="B24" s="90">
        <v>355</v>
      </c>
      <c r="C24" s="163">
        <f t="shared" ref="C24:Q24" si="8">C23</f>
        <v>644</v>
      </c>
      <c r="D24" s="163">
        <f t="shared" si="8"/>
        <v>540</v>
      </c>
      <c r="E24" s="163">
        <f t="shared" si="8"/>
        <v>564</v>
      </c>
      <c r="F24" s="468">
        <f t="shared" si="8"/>
        <v>608</v>
      </c>
      <c r="G24" s="468">
        <f t="shared" si="8"/>
        <v>504</v>
      </c>
      <c r="H24" s="468">
        <f t="shared" si="8"/>
        <v>482</v>
      </c>
      <c r="I24" s="468">
        <f t="shared" si="8"/>
        <v>460</v>
      </c>
      <c r="J24" s="87">
        <f t="shared" si="8"/>
        <v>798</v>
      </c>
      <c r="K24" s="87">
        <f t="shared" si="8"/>
        <v>468</v>
      </c>
      <c r="L24" s="87">
        <f t="shared" si="8"/>
        <v>478</v>
      </c>
      <c r="M24" s="87">
        <f>M23</f>
        <v>467</v>
      </c>
      <c r="N24" s="90" t="str">
        <f t="shared" si="8"/>
        <v>-</v>
      </c>
      <c r="O24" s="90">
        <f t="shared" si="8"/>
        <v>432</v>
      </c>
      <c r="P24" s="90">
        <f t="shared" si="8"/>
        <v>406</v>
      </c>
      <c r="Q24" s="87">
        <f t="shared" si="8"/>
        <v>604</v>
      </c>
      <c r="S24" s="211" t="s">
        <v>2442</v>
      </c>
      <c r="T24" s="90">
        <v>312</v>
      </c>
      <c r="U24" s="163">
        <f>U20</f>
        <v>486</v>
      </c>
      <c r="V24" s="87">
        <f t="shared" ref="V24:AI24" si="9">V20</f>
        <v>409</v>
      </c>
      <c r="W24" s="87">
        <f t="shared" si="9"/>
        <v>428</v>
      </c>
      <c r="X24" s="468">
        <f t="shared" si="9"/>
        <v>460</v>
      </c>
      <c r="Y24" s="90">
        <f t="shared" si="9"/>
        <v>382</v>
      </c>
      <c r="Z24" s="90">
        <f t="shared" si="9"/>
        <v>365</v>
      </c>
      <c r="AA24" s="90">
        <f t="shared" si="9"/>
        <v>348</v>
      </c>
      <c r="AB24" s="87">
        <f t="shared" si="9"/>
        <v>602</v>
      </c>
      <c r="AC24" s="87">
        <f t="shared" si="9"/>
        <v>354</v>
      </c>
      <c r="AD24" s="249">
        <f t="shared" si="9"/>
        <v>362</v>
      </c>
      <c r="AE24" s="249">
        <f t="shared" si="9"/>
        <v>354</v>
      </c>
      <c r="AF24" s="90">
        <f t="shared" si="9"/>
        <v>416</v>
      </c>
      <c r="AG24" s="90">
        <f t="shared" si="9"/>
        <v>327</v>
      </c>
      <c r="AH24" s="90">
        <f t="shared" si="9"/>
        <v>308</v>
      </c>
      <c r="AI24" s="87">
        <f t="shared" si="9"/>
        <v>456</v>
      </c>
    </row>
    <row r="25" spans="1:35" ht="27" customHeight="1">
      <c r="A25" s="1038" t="s">
        <v>5399</v>
      </c>
      <c r="B25" s="90">
        <v>380</v>
      </c>
      <c r="C25" s="163">
        <f t="shared" ref="C25:Q25" si="10">C23</f>
        <v>644</v>
      </c>
      <c r="D25" s="163">
        <f t="shared" si="10"/>
        <v>540</v>
      </c>
      <c r="E25" s="163">
        <f t="shared" si="10"/>
        <v>564</v>
      </c>
      <c r="F25" s="468">
        <f t="shared" si="10"/>
        <v>608</v>
      </c>
      <c r="G25" s="468">
        <f t="shared" si="10"/>
        <v>504</v>
      </c>
      <c r="H25" s="468">
        <f t="shared" si="10"/>
        <v>482</v>
      </c>
      <c r="I25" s="468">
        <f t="shared" si="10"/>
        <v>460</v>
      </c>
      <c r="J25" s="87">
        <f t="shared" si="10"/>
        <v>798</v>
      </c>
      <c r="K25" s="87">
        <f t="shared" si="10"/>
        <v>468</v>
      </c>
      <c r="L25" s="87">
        <f t="shared" si="10"/>
        <v>478</v>
      </c>
      <c r="M25" s="87">
        <f>M23</f>
        <v>467</v>
      </c>
      <c r="N25" s="90" t="str">
        <f t="shared" si="10"/>
        <v>-</v>
      </c>
      <c r="O25" s="90">
        <f t="shared" si="10"/>
        <v>432</v>
      </c>
      <c r="P25" s="90">
        <f t="shared" si="10"/>
        <v>406</v>
      </c>
      <c r="Q25" s="87">
        <f t="shared" si="10"/>
        <v>604</v>
      </c>
      <c r="S25" s="211" t="s">
        <v>2443</v>
      </c>
      <c r="T25" s="90">
        <v>335</v>
      </c>
      <c r="U25" s="163">
        <f>ROUND(644*Belarus*(1-B57),2)</f>
        <v>644</v>
      </c>
      <c r="V25" s="87">
        <f>ROUND(540*Belarus*(1-B57),2)</f>
        <v>540</v>
      </c>
      <c r="W25" s="87">
        <f>ROUND(564*Belarus*(1-B57),2)</f>
        <v>564</v>
      </c>
      <c r="X25" s="468">
        <f>ROUND(608*Belarus*(1-B57),2)</f>
        <v>608</v>
      </c>
      <c r="Y25" s="90">
        <f>ROUND(504*Belarus*(1-B57),2)</f>
        <v>504</v>
      </c>
      <c r="Z25" s="90">
        <f>ROUND(482*Belarus*(1-B57),2)</f>
        <v>482</v>
      </c>
      <c r="AA25" s="90">
        <f>ROUND(460*Belarus*(1-B57),2)</f>
        <v>460</v>
      </c>
      <c r="AB25" s="87">
        <f>ROUND(798*Belarus*(1-B57),2)</f>
        <v>798</v>
      </c>
      <c r="AC25" s="87">
        <f>ROUND(468*Belarus*(1-B57),2)</f>
        <v>468</v>
      </c>
      <c r="AD25" s="249">
        <f>ROUND(478*Belarus*(1-B57),2)</f>
        <v>478</v>
      </c>
      <c r="AE25" s="249">
        <f>ROUND(467*Belarus*(1-B57),2)</f>
        <v>467</v>
      </c>
      <c r="AF25" s="90">
        <f>ROUND(535*Belarus*(1-B57),2)</f>
        <v>535</v>
      </c>
      <c r="AG25" s="90">
        <f>ROUND(432*Belarus*(1-B57),2)</f>
        <v>432</v>
      </c>
      <c r="AH25" s="90">
        <f>ROUND(406*Belarus*(1-B57),2)</f>
        <v>406</v>
      </c>
      <c r="AI25" s="87">
        <f>ROUND(604*Belarus*(1-B57),2)</f>
        <v>604</v>
      </c>
    </row>
    <row r="26" spans="1:35" ht="27" customHeight="1">
      <c r="A26" s="1038" t="s">
        <v>5400</v>
      </c>
      <c r="B26" s="90">
        <v>416</v>
      </c>
      <c r="C26" s="163">
        <f t="shared" ref="C26:Q26" si="11">C23</f>
        <v>644</v>
      </c>
      <c r="D26" s="163">
        <f t="shared" si="11"/>
        <v>540</v>
      </c>
      <c r="E26" s="163">
        <f t="shared" si="11"/>
        <v>564</v>
      </c>
      <c r="F26" s="468">
        <f t="shared" si="11"/>
        <v>608</v>
      </c>
      <c r="G26" s="468">
        <f t="shared" si="11"/>
        <v>504</v>
      </c>
      <c r="H26" s="468">
        <f t="shared" si="11"/>
        <v>482</v>
      </c>
      <c r="I26" s="468">
        <f t="shared" si="11"/>
        <v>460</v>
      </c>
      <c r="J26" s="87">
        <f t="shared" si="11"/>
        <v>798</v>
      </c>
      <c r="K26" s="87">
        <f t="shared" si="11"/>
        <v>468</v>
      </c>
      <c r="L26" s="87">
        <f t="shared" si="11"/>
        <v>478</v>
      </c>
      <c r="M26" s="87">
        <f>M23</f>
        <v>467</v>
      </c>
      <c r="N26" s="90" t="str">
        <f t="shared" si="11"/>
        <v>-</v>
      </c>
      <c r="O26" s="90">
        <f t="shared" si="11"/>
        <v>432</v>
      </c>
      <c r="P26" s="90">
        <f t="shared" si="11"/>
        <v>406</v>
      </c>
      <c r="Q26" s="87">
        <f t="shared" si="11"/>
        <v>604</v>
      </c>
      <c r="S26" s="211" t="s">
        <v>6333</v>
      </c>
      <c r="T26" s="162">
        <v>330</v>
      </c>
      <c r="U26" s="163">
        <f>U25</f>
        <v>644</v>
      </c>
      <c r="V26" s="87">
        <f t="shared" ref="V26:AI26" si="12">V25</f>
        <v>540</v>
      </c>
      <c r="W26" s="87">
        <f t="shared" si="12"/>
        <v>564</v>
      </c>
      <c r="X26" s="468">
        <f t="shared" si="12"/>
        <v>608</v>
      </c>
      <c r="Y26" s="90">
        <f t="shared" si="12"/>
        <v>504</v>
      </c>
      <c r="Z26" s="90">
        <f t="shared" si="12"/>
        <v>482</v>
      </c>
      <c r="AA26" s="90">
        <f t="shared" si="12"/>
        <v>460</v>
      </c>
      <c r="AB26" s="87">
        <f t="shared" si="12"/>
        <v>798</v>
      </c>
      <c r="AC26" s="87">
        <f t="shared" si="12"/>
        <v>468</v>
      </c>
      <c r="AD26" s="249">
        <f t="shared" si="12"/>
        <v>478</v>
      </c>
      <c r="AE26" s="249">
        <f t="shared" si="12"/>
        <v>467</v>
      </c>
      <c r="AF26" s="90">
        <f t="shared" si="12"/>
        <v>535</v>
      </c>
      <c r="AG26" s="90">
        <f t="shared" si="12"/>
        <v>432</v>
      </c>
      <c r="AH26" s="90">
        <f t="shared" si="12"/>
        <v>406</v>
      </c>
      <c r="AI26" s="87">
        <f t="shared" si="12"/>
        <v>604</v>
      </c>
    </row>
    <row r="27" spans="1:35" ht="27" customHeight="1">
      <c r="A27" s="950" t="s">
        <v>5408</v>
      </c>
      <c r="B27" s="951"/>
      <c r="C27" s="951"/>
      <c r="D27" s="951"/>
      <c r="E27" s="951"/>
      <c r="F27" s="951"/>
      <c r="G27" s="951"/>
      <c r="H27" s="951"/>
      <c r="I27" s="951"/>
      <c r="J27" s="951"/>
      <c r="K27" s="951"/>
      <c r="L27" s="951"/>
      <c r="M27" s="951"/>
      <c r="N27" s="951"/>
      <c r="O27" s="951"/>
      <c r="P27" s="951"/>
      <c r="Q27" s="952"/>
      <c r="S27" s="211" t="s">
        <v>2445</v>
      </c>
      <c r="T27" s="90">
        <v>355</v>
      </c>
      <c r="U27" s="163">
        <f>U25</f>
        <v>644</v>
      </c>
      <c r="V27" s="87">
        <f t="shared" ref="V27:AI27" si="13">V25</f>
        <v>540</v>
      </c>
      <c r="W27" s="87">
        <f t="shared" si="13"/>
        <v>564</v>
      </c>
      <c r="X27" s="468">
        <f t="shared" si="13"/>
        <v>608</v>
      </c>
      <c r="Y27" s="90">
        <f t="shared" si="13"/>
        <v>504</v>
      </c>
      <c r="Z27" s="90">
        <f t="shared" si="13"/>
        <v>482</v>
      </c>
      <c r="AA27" s="90">
        <f t="shared" si="13"/>
        <v>460</v>
      </c>
      <c r="AB27" s="87">
        <f t="shared" si="13"/>
        <v>798</v>
      </c>
      <c r="AC27" s="87">
        <f t="shared" si="13"/>
        <v>468</v>
      </c>
      <c r="AD27" s="249">
        <f t="shared" si="13"/>
        <v>478</v>
      </c>
      <c r="AE27" s="249">
        <f t="shared" si="13"/>
        <v>467</v>
      </c>
      <c r="AF27" s="90">
        <f t="shared" si="13"/>
        <v>535</v>
      </c>
      <c r="AG27" s="90">
        <f t="shared" si="13"/>
        <v>432</v>
      </c>
      <c r="AH27" s="90">
        <f t="shared" si="13"/>
        <v>406</v>
      </c>
      <c r="AI27" s="87">
        <f t="shared" si="13"/>
        <v>604</v>
      </c>
    </row>
    <row r="28" spans="1:35" ht="26.25" customHeight="1">
      <c r="A28" s="1039" t="s">
        <v>5401</v>
      </c>
      <c r="B28" s="162">
        <v>113</v>
      </c>
      <c r="C28" s="163">
        <f>ROUND(186*Belarus*(1-B57),2)</f>
        <v>186</v>
      </c>
      <c r="D28" s="87">
        <f>ROUND(158*Belarus*(1-B57),2)</f>
        <v>158</v>
      </c>
      <c r="E28" s="87">
        <f>ROUND(164*Belarus*(1-B57),2)</f>
        <v>164</v>
      </c>
      <c r="F28" s="468">
        <f>ROUND(176*Belarus*(1-B57),2)</f>
        <v>176</v>
      </c>
      <c r="G28" s="90">
        <f>ROUND(148*Belarus*(1-B57),2)</f>
        <v>148</v>
      </c>
      <c r="H28" s="90">
        <f>ROUND(142*Belarus*(1-B57),2)</f>
        <v>142</v>
      </c>
      <c r="I28" s="90">
        <f>ROUND(136*Belarus*(1-B57),2)</f>
        <v>136</v>
      </c>
      <c r="J28" s="87">
        <f>ROUND(228*Belarus*(1-B57),2)</f>
        <v>228</v>
      </c>
      <c r="K28" s="87">
        <f>ROUND(138*Belarus*(1-B57),2)</f>
        <v>138</v>
      </c>
      <c r="L28" s="87">
        <f>ROUND(141*Belarus*(1-B57),2)</f>
        <v>141</v>
      </c>
      <c r="M28" s="87">
        <f>ROUND(138*Belarus*(1-B57),2)</f>
        <v>138</v>
      </c>
      <c r="N28" s="90">
        <f>ROUND(160*Belarus*(1-B57),2)</f>
        <v>160</v>
      </c>
      <c r="O28" s="90">
        <f>ROUND(128*Belarus*(1-B57),2)</f>
        <v>128</v>
      </c>
      <c r="P28" s="90">
        <f>ROUND(121*Belarus*(1-B57),2)</f>
        <v>121</v>
      </c>
      <c r="Q28" s="87">
        <f>ROUND(175*Belarus*(1-B57),2)</f>
        <v>175</v>
      </c>
      <c r="S28" s="211" t="s">
        <v>6334</v>
      </c>
      <c r="T28" s="162">
        <v>380</v>
      </c>
      <c r="U28" s="163">
        <f>U25</f>
        <v>644</v>
      </c>
      <c r="V28" s="87">
        <f t="shared" ref="V28:AI28" si="14">V25</f>
        <v>540</v>
      </c>
      <c r="W28" s="87">
        <f t="shared" si="14"/>
        <v>564</v>
      </c>
      <c r="X28" s="468">
        <f t="shared" si="14"/>
        <v>608</v>
      </c>
      <c r="Y28" s="90">
        <f t="shared" si="14"/>
        <v>504</v>
      </c>
      <c r="Z28" s="90">
        <f t="shared" si="14"/>
        <v>482</v>
      </c>
      <c r="AA28" s="90">
        <f t="shared" si="14"/>
        <v>460</v>
      </c>
      <c r="AB28" s="87">
        <f t="shared" si="14"/>
        <v>798</v>
      </c>
      <c r="AC28" s="87">
        <f t="shared" si="14"/>
        <v>468</v>
      </c>
      <c r="AD28" s="249">
        <f t="shared" si="14"/>
        <v>478</v>
      </c>
      <c r="AE28" s="249">
        <f t="shared" si="14"/>
        <v>467</v>
      </c>
      <c r="AF28" s="90">
        <f t="shared" si="14"/>
        <v>535</v>
      </c>
      <c r="AG28" s="90">
        <f t="shared" si="14"/>
        <v>432</v>
      </c>
      <c r="AH28" s="90">
        <f t="shared" si="14"/>
        <v>406</v>
      </c>
      <c r="AI28" s="87">
        <f t="shared" si="14"/>
        <v>604</v>
      </c>
    </row>
    <row r="29" spans="1:35" ht="26.25" customHeight="1">
      <c r="A29" s="1038" t="s">
        <v>5402</v>
      </c>
      <c r="B29" s="90">
        <v>113</v>
      </c>
      <c r="C29" s="163">
        <f t="shared" ref="C29:Q29" si="15">C28</f>
        <v>186</v>
      </c>
      <c r="D29" s="163">
        <f t="shared" si="15"/>
        <v>158</v>
      </c>
      <c r="E29" s="163">
        <f t="shared" si="15"/>
        <v>164</v>
      </c>
      <c r="F29" s="468">
        <f t="shared" si="15"/>
        <v>176</v>
      </c>
      <c r="G29" s="468">
        <f t="shared" si="15"/>
        <v>148</v>
      </c>
      <c r="H29" s="468">
        <f t="shared" si="15"/>
        <v>142</v>
      </c>
      <c r="I29" s="468">
        <f t="shared" si="15"/>
        <v>136</v>
      </c>
      <c r="J29" s="87">
        <f t="shared" si="15"/>
        <v>228</v>
      </c>
      <c r="K29" s="87">
        <f t="shared" si="15"/>
        <v>138</v>
      </c>
      <c r="L29" s="87">
        <f t="shared" si="15"/>
        <v>141</v>
      </c>
      <c r="M29" s="87">
        <f>M28</f>
        <v>138</v>
      </c>
      <c r="N29" s="90">
        <f t="shared" si="15"/>
        <v>160</v>
      </c>
      <c r="O29" s="90">
        <f t="shared" si="15"/>
        <v>128</v>
      </c>
      <c r="P29" s="90">
        <f t="shared" si="15"/>
        <v>121</v>
      </c>
      <c r="Q29" s="87">
        <f t="shared" si="15"/>
        <v>175</v>
      </c>
      <c r="S29" s="211" t="s">
        <v>2447</v>
      </c>
      <c r="T29" s="90">
        <v>416</v>
      </c>
      <c r="U29" s="163">
        <f>U25</f>
        <v>644</v>
      </c>
      <c r="V29" s="87">
        <f t="shared" ref="V29:AI29" si="16">V25</f>
        <v>540</v>
      </c>
      <c r="W29" s="87">
        <f t="shared" si="16"/>
        <v>564</v>
      </c>
      <c r="X29" s="468">
        <f t="shared" si="16"/>
        <v>608</v>
      </c>
      <c r="Y29" s="90">
        <f t="shared" si="16"/>
        <v>504</v>
      </c>
      <c r="Z29" s="90">
        <f t="shared" si="16"/>
        <v>482</v>
      </c>
      <c r="AA29" s="90">
        <f t="shared" si="16"/>
        <v>460</v>
      </c>
      <c r="AB29" s="87">
        <f t="shared" si="16"/>
        <v>798</v>
      </c>
      <c r="AC29" s="87">
        <f t="shared" si="16"/>
        <v>468</v>
      </c>
      <c r="AD29" s="249">
        <f t="shared" si="16"/>
        <v>478</v>
      </c>
      <c r="AE29" s="249">
        <f t="shared" si="16"/>
        <v>467</v>
      </c>
      <c r="AF29" s="90">
        <f t="shared" si="16"/>
        <v>535</v>
      </c>
      <c r="AG29" s="90">
        <f t="shared" si="16"/>
        <v>432</v>
      </c>
      <c r="AH29" s="90">
        <f t="shared" si="16"/>
        <v>406</v>
      </c>
      <c r="AI29" s="87">
        <f t="shared" si="16"/>
        <v>604</v>
      </c>
    </row>
    <row r="30" spans="1:35" ht="27" customHeight="1">
      <c r="A30" s="1039" t="s">
        <v>5403</v>
      </c>
      <c r="B30" s="162">
        <v>207</v>
      </c>
      <c r="C30" s="163">
        <f>ROUND(329*Belarus*(1-B57),2)</f>
        <v>329</v>
      </c>
      <c r="D30" s="87">
        <f>ROUND(278*Belarus*(1-B57),2)</f>
        <v>278</v>
      </c>
      <c r="E30" s="87">
        <f>ROUND(290*Belarus*(1-B57),2)</f>
        <v>290</v>
      </c>
      <c r="F30" s="468">
        <f>ROUND(311*Belarus*(1-B57),2)</f>
        <v>311</v>
      </c>
      <c r="G30" s="90">
        <f>ROUND(260*Belarus*(1-B57),2)</f>
        <v>260</v>
      </c>
      <c r="H30" s="90">
        <f>ROUND(249*Belarus*(1-B57),2)</f>
        <v>249</v>
      </c>
      <c r="I30" s="90">
        <f>ROUND(237*Belarus*(1-B57),2)</f>
        <v>237</v>
      </c>
      <c r="J30" s="87">
        <f>ROUND(407*Belarus*(1-B57),2)</f>
        <v>407</v>
      </c>
      <c r="K30" s="87">
        <f>ROUND(241*Belarus*(1-B57),2)</f>
        <v>241</v>
      </c>
      <c r="L30" s="87">
        <f>ROUND(247*Belarus*(1-B57),2)</f>
        <v>247</v>
      </c>
      <c r="M30" s="87">
        <f>ROUND(240*Belarus*(1-B57),2)</f>
        <v>240</v>
      </c>
      <c r="N30" s="90">
        <f>ROUND(282*Belarus*(1-B57),2)</f>
        <v>282</v>
      </c>
      <c r="O30" s="90">
        <f>ROUND(205*Belarus*(1-B57),2)</f>
        <v>205</v>
      </c>
      <c r="P30" s="90">
        <f>ROUND(210*Belarus*(1-B57),2)</f>
        <v>210</v>
      </c>
      <c r="Q30" s="87">
        <f>ROUND(309*Belarus*(1-B57),2)</f>
        <v>309</v>
      </c>
      <c r="S30" s="211" t="s">
        <v>4194</v>
      </c>
      <c r="T30" s="90">
        <v>108</v>
      </c>
      <c r="U30" s="163">
        <f>ROUND(186*Belarus*(1-B57),2)</f>
        <v>186</v>
      </c>
      <c r="V30" s="87">
        <f>ROUND(158*Belarus*(1-B57),2)</f>
        <v>158</v>
      </c>
      <c r="W30" s="87">
        <f>ROUND(164*Belarus*(1-B57),2)</f>
        <v>164</v>
      </c>
      <c r="X30" s="468">
        <f>ROUND(176*Belarus*(1-B57),2)</f>
        <v>176</v>
      </c>
      <c r="Y30" s="90">
        <f>ROUND(148*Belarus*(1-B57),2)</f>
        <v>148</v>
      </c>
      <c r="Z30" s="90">
        <f>ROUND(142*Belarus*(1-B57),2)</f>
        <v>142</v>
      </c>
      <c r="AA30" s="90">
        <f>ROUND(136*Belarus*(1-B57),2)</f>
        <v>136</v>
      </c>
      <c r="AB30" s="87">
        <f>ROUND(228*Belarus*(1-B57),2)</f>
        <v>228</v>
      </c>
      <c r="AC30" s="87">
        <f>ROUND(138*Belarus*(1-B57),2)</f>
        <v>138</v>
      </c>
      <c r="AD30" s="249">
        <f>ROUND(141*Belarus*(1-B57),2)</f>
        <v>141</v>
      </c>
      <c r="AE30" s="249">
        <f>ROUND(138*Belarus*(1-B57),2)</f>
        <v>138</v>
      </c>
      <c r="AF30" s="90">
        <f>ROUND(160*Belarus*(1-B57),2)</f>
        <v>160</v>
      </c>
      <c r="AG30" s="90">
        <f>ROUND(128*Belarus*(1-B57),2)</f>
        <v>128</v>
      </c>
      <c r="AH30" s="90">
        <f>ROUND(121*Belarus*(1-B57),2)</f>
        <v>121</v>
      </c>
      <c r="AI30" s="87">
        <f>ROUND(175*Belarus*(1-B57),2)</f>
        <v>175</v>
      </c>
    </row>
    <row r="31" spans="1:35" ht="27.75" customHeight="1">
      <c r="A31" s="2410" t="s">
        <v>5404</v>
      </c>
      <c r="B31" s="1727">
        <v>312</v>
      </c>
      <c r="C31" s="2015">
        <f>ROUND(486*Belarus*(1-B57),2)</f>
        <v>486</v>
      </c>
      <c r="D31" s="1725">
        <f>ROUND(409*Belarus*(1-B57),2)</f>
        <v>409</v>
      </c>
      <c r="E31" s="1725">
        <f>ROUND(428*Belarus*(1-B57),2)</f>
        <v>428</v>
      </c>
      <c r="F31" s="2412">
        <f>ROUND(460*Belarus*(1-B57),2)</f>
        <v>460</v>
      </c>
      <c r="G31" s="1727">
        <f>ROUND(382*Belarus*(1-B57),2)</f>
        <v>382</v>
      </c>
      <c r="H31" s="1727">
        <f>ROUND(365*Belarus*(1-B57),2)</f>
        <v>365</v>
      </c>
      <c r="I31" s="1727">
        <f>ROUND(348*Belarus*(1-B57),2)</f>
        <v>348</v>
      </c>
      <c r="J31" s="1725">
        <f>ROUND(602*Belarus*(1-B57),2)</f>
        <v>602</v>
      </c>
      <c r="K31" s="1725">
        <f>ROUND(354*Belarus*(1-B57),2)</f>
        <v>354</v>
      </c>
      <c r="L31" s="1725">
        <f>ROUND(362*Belarus*(1-B57),2)</f>
        <v>362</v>
      </c>
      <c r="M31" s="1725">
        <f>ROUND(354*Belarus*(1-B57),2)</f>
        <v>354</v>
      </c>
      <c r="N31" s="1727">
        <f>ROUND(416*Belarus*(1-B57),2)</f>
        <v>416</v>
      </c>
      <c r="O31" s="1727">
        <f>ROUND(327*Belarus*(1-B57),2)</f>
        <v>327</v>
      </c>
      <c r="P31" s="1727">
        <f>ROUND(308*Belarus*(1-B57),2)</f>
        <v>308</v>
      </c>
      <c r="Q31" s="1725">
        <f>ROUND(456*Belarus*(1-B57),2)</f>
        <v>456</v>
      </c>
      <c r="S31" s="211" t="s">
        <v>4195</v>
      </c>
      <c r="T31" s="90">
        <v>89</v>
      </c>
      <c r="U31" s="163">
        <f>ROUND(149*Belarus*(1-B57),2)</f>
        <v>149</v>
      </c>
      <c r="V31" s="87">
        <f>ROUND(127*Belarus*(1-B57),2)</f>
        <v>127</v>
      </c>
      <c r="W31" s="87">
        <f>ROUND(133*Belarus*(1-B57),2)</f>
        <v>133</v>
      </c>
      <c r="X31" s="468">
        <f>ROUND(142*Belarus*(1-B57),2)</f>
        <v>142</v>
      </c>
      <c r="Y31" s="90">
        <f>ROUND(120*Belarus*(1-B57),2)</f>
        <v>120</v>
      </c>
      <c r="Z31" s="90">
        <f>ROUND(115*Belarus*(1-B57),2)</f>
        <v>115</v>
      </c>
      <c r="AA31" s="90">
        <f>ROUND(110*Belarus*(1-B57),2)</f>
        <v>110</v>
      </c>
      <c r="AB31" s="87">
        <f>ROUND(182*Belarus*(1-B57),2)</f>
        <v>182</v>
      </c>
      <c r="AC31" s="87">
        <f>ROUND(112*Belarus*(1-B57),2)</f>
        <v>112</v>
      </c>
      <c r="AD31" s="249">
        <f>ROUND(114*Belarus*(1-B57),2)</f>
        <v>114</v>
      </c>
      <c r="AE31" s="249">
        <f>ROUND(112*Belarus*(1-B57),2)</f>
        <v>112</v>
      </c>
      <c r="AF31" s="90">
        <f>ROUND(126*Belarus*(1-B57),2)</f>
        <v>126</v>
      </c>
      <c r="AG31" s="90">
        <f>ROUND(104*Belarus*(1-B57),2)</f>
        <v>104</v>
      </c>
      <c r="AH31" s="90">
        <f>ROUND(99*Belarus*(1-B57),2)</f>
        <v>99</v>
      </c>
      <c r="AI31" s="87">
        <f>ROUND(141*Belarus*(1-B57),2)</f>
        <v>141</v>
      </c>
    </row>
    <row r="32" spans="1:35" ht="15" customHeight="1">
      <c r="A32" s="2411"/>
      <c r="B32" s="1728"/>
      <c r="C32" s="2016"/>
      <c r="D32" s="1726"/>
      <c r="E32" s="1726"/>
      <c r="F32" s="2413"/>
      <c r="G32" s="1728"/>
      <c r="H32" s="1728"/>
      <c r="I32" s="1728"/>
      <c r="J32" s="1726"/>
      <c r="K32" s="1726"/>
      <c r="L32" s="1726"/>
      <c r="M32" s="1726"/>
      <c r="N32" s="1728"/>
      <c r="O32" s="1728"/>
      <c r="P32" s="1728"/>
      <c r="Q32" s="1726"/>
      <c r="S32" s="211" t="s">
        <v>2578</v>
      </c>
      <c r="T32" s="90">
        <v>83</v>
      </c>
      <c r="U32" s="163">
        <f>U14</f>
        <v>140</v>
      </c>
      <c r="V32" s="87">
        <f t="shared" ref="V32:AI32" si="17">V14</f>
        <v>120</v>
      </c>
      <c r="W32" s="87">
        <f t="shared" si="17"/>
        <v>125</v>
      </c>
      <c r="X32" s="468">
        <f t="shared" si="17"/>
        <v>133</v>
      </c>
      <c r="Y32" s="90">
        <f t="shared" si="17"/>
        <v>113</v>
      </c>
      <c r="Z32" s="90">
        <f t="shared" si="17"/>
        <v>108</v>
      </c>
      <c r="AA32" s="90">
        <f t="shared" si="17"/>
        <v>104</v>
      </c>
      <c r="AB32" s="87">
        <f t="shared" si="17"/>
        <v>171</v>
      </c>
      <c r="AC32" s="87">
        <f t="shared" si="17"/>
        <v>105</v>
      </c>
      <c r="AD32" s="249">
        <f t="shared" si="17"/>
        <v>107</v>
      </c>
      <c r="AE32" s="249">
        <f t="shared" si="17"/>
        <v>105</v>
      </c>
      <c r="AF32" s="90">
        <f t="shared" si="17"/>
        <v>119</v>
      </c>
      <c r="AG32" s="90">
        <f t="shared" si="17"/>
        <v>98</v>
      </c>
      <c r="AH32" s="90">
        <f t="shared" si="17"/>
        <v>93</v>
      </c>
      <c r="AI32" s="87">
        <f t="shared" si="17"/>
        <v>132</v>
      </c>
    </row>
    <row r="33" spans="1:35" ht="30" customHeight="1">
      <c r="A33" s="1039" t="s">
        <v>5405</v>
      </c>
      <c r="B33" s="162">
        <v>207</v>
      </c>
      <c r="C33" s="163">
        <f t="shared" ref="C33:Q33" si="18">C30</f>
        <v>329</v>
      </c>
      <c r="D33" s="163">
        <f t="shared" si="18"/>
        <v>278</v>
      </c>
      <c r="E33" s="163">
        <f t="shared" si="18"/>
        <v>290</v>
      </c>
      <c r="F33" s="468">
        <f t="shared" si="18"/>
        <v>311</v>
      </c>
      <c r="G33" s="468">
        <f t="shared" si="18"/>
        <v>260</v>
      </c>
      <c r="H33" s="468">
        <f t="shared" si="18"/>
        <v>249</v>
      </c>
      <c r="I33" s="468">
        <f t="shared" si="18"/>
        <v>237</v>
      </c>
      <c r="J33" s="87">
        <f t="shared" si="18"/>
        <v>407</v>
      </c>
      <c r="K33" s="87">
        <f t="shared" si="18"/>
        <v>241</v>
      </c>
      <c r="L33" s="87">
        <f t="shared" si="18"/>
        <v>247</v>
      </c>
      <c r="M33" s="87">
        <f>M30</f>
        <v>240</v>
      </c>
      <c r="N33" s="90">
        <f t="shared" si="18"/>
        <v>282</v>
      </c>
      <c r="O33" s="90">
        <f t="shared" si="18"/>
        <v>205</v>
      </c>
      <c r="P33" s="90">
        <f t="shared" si="18"/>
        <v>210</v>
      </c>
      <c r="Q33" s="87">
        <f t="shared" si="18"/>
        <v>309</v>
      </c>
      <c r="S33" s="950" t="s">
        <v>2454</v>
      </c>
      <c r="T33" s="951"/>
      <c r="U33" s="951"/>
      <c r="V33" s="951"/>
      <c r="W33" s="951"/>
      <c r="X33" s="951"/>
      <c r="Y33" s="951"/>
      <c r="Z33" s="951"/>
      <c r="AA33" s="951"/>
      <c r="AB33" s="951"/>
      <c r="AC33" s="951"/>
      <c r="AD33" s="951"/>
      <c r="AE33" s="951"/>
      <c r="AF33" s="951"/>
      <c r="AG33" s="951"/>
      <c r="AH33" s="951"/>
      <c r="AI33" s="952"/>
    </row>
    <row r="34" spans="1:35" ht="12.75" customHeight="1">
      <c r="A34" s="950" t="s">
        <v>5407</v>
      </c>
      <c r="B34" s="951"/>
      <c r="C34" s="951"/>
      <c r="D34" s="951"/>
      <c r="E34" s="951"/>
      <c r="F34" s="951"/>
      <c r="G34" s="951"/>
      <c r="H34" s="951"/>
      <c r="I34" s="951"/>
      <c r="J34" s="951"/>
      <c r="K34" s="951"/>
      <c r="L34" s="951"/>
      <c r="M34" s="951"/>
      <c r="N34" s="951"/>
      <c r="O34" s="951"/>
      <c r="P34" s="951"/>
      <c r="Q34" s="952"/>
      <c r="S34" s="1040" t="s">
        <v>4081</v>
      </c>
      <c r="T34" s="90">
        <v>233</v>
      </c>
      <c r="U34" s="163" t="s">
        <v>369</v>
      </c>
      <c r="V34" s="87">
        <f>ROUND(330*Belarus*(1-B57),2)</f>
        <v>330</v>
      </c>
      <c r="W34" s="87">
        <f>ROUND(345*Belarus*(1-B57),2)</f>
        <v>345</v>
      </c>
      <c r="X34" s="468">
        <f>ROUND(370*Belarus*(1-B57),2)</f>
        <v>370</v>
      </c>
      <c r="Y34" s="90">
        <f>ROUND(309*Belarus*(1-B57),2)</f>
        <v>309</v>
      </c>
      <c r="Z34" s="90">
        <f>ROUND(295*Belarus*(1-B57),2)</f>
        <v>295</v>
      </c>
      <c r="AA34" s="90">
        <f>ROUND(282*Belarus*(1-B57),2)</f>
        <v>282</v>
      </c>
      <c r="AB34" s="87">
        <f>ROUND(484*Belarus*(1-B57),2)</f>
        <v>484</v>
      </c>
      <c r="AC34" s="87">
        <f>ROUND(287*Belarus*(1-B57),2)</f>
        <v>287</v>
      </c>
      <c r="AD34" s="249">
        <f>ROUND(293*Belarus*(1-B57),2)</f>
        <v>293</v>
      </c>
      <c r="AE34" s="249">
        <f>ROUND(286*Belarus*(1-B57),2)</f>
        <v>286</v>
      </c>
      <c r="AF34" s="90" t="s">
        <v>369</v>
      </c>
      <c r="AG34" s="90">
        <f>ROUND(265*Belarus*(1-B57),2)</f>
        <v>265</v>
      </c>
      <c r="AH34" s="90">
        <f>ROUND(250*Belarus*(1-B57),2)</f>
        <v>250</v>
      </c>
      <c r="AI34" s="87">
        <f>ROUND(367*Belarus*(1-B57),2)</f>
        <v>367</v>
      </c>
    </row>
    <row r="35" spans="1:35" ht="26.25" customHeight="1">
      <c r="A35" s="211" t="s">
        <v>6335</v>
      </c>
      <c r="B35" s="162">
        <v>330</v>
      </c>
      <c r="C35" s="163">
        <f>ROUND(644*Belarus*(1-B57),2)</f>
        <v>644</v>
      </c>
      <c r="D35" s="87">
        <f>ROUND(540*Belarus*(1-B57),2)</f>
        <v>540</v>
      </c>
      <c r="E35" s="87">
        <f>ROUND(564*Belarus*(1-B57),2)</f>
        <v>564</v>
      </c>
      <c r="F35" s="468">
        <f>ROUND(608*Belarus*(1-B57),2)</f>
        <v>608</v>
      </c>
      <c r="G35" s="90">
        <f>ROUND(504*Belarus*(1-B57),2)</f>
        <v>504</v>
      </c>
      <c r="H35" s="90">
        <f>ROUND(482*Belarus*(1-B57),2)</f>
        <v>482</v>
      </c>
      <c r="I35" s="90">
        <f>ROUND(460*Belarus*(1-B57),2)</f>
        <v>460</v>
      </c>
      <c r="J35" s="87">
        <f>ROUND(798*Belarus*(1-B57),2)</f>
        <v>798</v>
      </c>
      <c r="K35" s="87">
        <f>ROUND(468*Belarus*(1-B57),2)</f>
        <v>468</v>
      </c>
      <c r="L35" s="87">
        <f>ROUND(478*Belarus*(1-B57),2)</f>
        <v>478</v>
      </c>
      <c r="M35" s="87">
        <f>ROUND(467*Belarus*(1-B57),2)</f>
        <v>467</v>
      </c>
      <c r="N35" s="90">
        <f>ROUND(535*Belarus*(1-B57),2)</f>
        <v>535</v>
      </c>
      <c r="O35" s="90">
        <f>ROUND(432*Belarus*(1-B57),2)</f>
        <v>432</v>
      </c>
      <c r="P35" s="90">
        <f>ROUND(406*Belarus*(1-B57),2)</f>
        <v>406</v>
      </c>
      <c r="Q35" s="87">
        <f>ROUND(604*Belarus*(1-B57),2)</f>
        <v>604</v>
      </c>
      <c r="S35" s="1040" t="s">
        <v>4082</v>
      </c>
      <c r="T35" s="90">
        <v>400</v>
      </c>
      <c r="U35" s="163" t="s">
        <v>369</v>
      </c>
      <c r="V35" s="87">
        <f>ROUND(540*Belarus*(1-B57),2)</f>
        <v>540</v>
      </c>
      <c r="W35" s="87">
        <f>ROUND(564*Belarus*(1-B57),2)</f>
        <v>564</v>
      </c>
      <c r="X35" s="468">
        <f>ROUND(608*Belarus*(1-B57),2)</f>
        <v>608</v>
      </c>
      <c r="Y35" s="90">
        <f>ROUND(504*Belarus*(1-B57),2)</f>
        <v>504</v>
      </c>
      <c r="Z35" s="90">
        <f>ROUND(482*Belarus*(1-B57),2)</f>
        <v>482</v>
      </c>
      <c r="AA35" s="90">
        <f>ROUND(460*Belarus*(1-B57),2)</f>
        <v>460</v>
      </c>
      <c r="AB35" s="87">
        <f>ROUND(798*Belarus*(1-B57),2)</f>
        <v>798</v>
      </c>
      <c r="AC35" s="87">
        <f>ROUND(468*Belarus*(1-B57),2)</f>
        <v>468</v>
      </c>
      <c r="AD35" s="249">
        <f>ROUND(478*Belarus*(1-B57),2)</f>
        <v>478</v>
      </c>
      <c r="AE35" s="249">
        <f>ROUND(467*Belarus*(1-B57),2)</f>
        <v>467</v>
      </c>
      <c r="AF35" s="90" t="s">
        <v>369</v>
      </c>
      <c r="AG35" s="90">
        <f>ROUND(432*Belarus*(1-B57),2)</f>
        <v>432</v>
      </c>
      <c r="AH35" s="90">
        <f>ROUND(405*Belarus*(1-B57),2)</f>
        <v>405</v>
      </c>
      <c r="AI35" s="87">
        <f>ROUND(604*Belarus*(1-B57),2)</f>
        <v>604</v>
      </c>
    </row>
    <row r="36" spans="1:35" ht="27" customHeight="1">
      <c r="A36" s="211" t="s">
        <v>2579</v>
      </c>
      <c r="B36" s="90">
        <v>355</v>
      </c>
      <c r="C36" s="163">
        <f>C35</f>
        <v>644</v>
      </c>
      <c r="D36" s="87">
        <f t="shared" ref="D36:Q36" si="19">D35</f>
        <v>540</v>
      </c>
      <c r="E36" s="87">
        <f t="shared" si="19"/>
        <v>564</v>
      </c>
      <c r="F36" s="468">
        <f t="shared" si="19"/>
        <v>608</v>
      </c>
      <c r="G36" s="90">
        <f t="shared" si="19"/>
        <v>504</v>
      </c>
      <c r="H36" s="90">
        <f t="shared" si="19"/>
        <v>482</v>
      </c>
      <c r="I36" s="90">
        <f t="shared" si="19"/>
        <v>460</v>
      </c>
      <c r="J36" s="87">
        <f t="shared" si="19"/>
        <v>798</v>
      </c>
      <c r="K36" s="87">
        <f t="shared" si="19"/>
        <v>468</v>
      </c>
      <c r="L36" s="87">
        <f t="shared" si="19"/>
        <v>478</v>
      </c>
      <c r="M36" s="87">
        <f t="shared" si="19"/>
        <v>467</v>
      </c>
      <c r="N36" s="90">
        <f t="shared" si="19"/>
        <v>535</v>
      </c>
      <c r="O36" s="90">
        <f t="shared" si="19"/>
        <v>432</v>
      </c>
      <c r="P36" s="90">
        <f t="shared" si="19"/>
        <v>406</v>
      </c>
      <c r="Q36" s="87">
        <f t="shared" si="19"/>
        <v>604</v>
      </c>
      <c r="R36" s="467"/>
      <c r="S36" s="1040" t="s">
        <v>4083</v>
      </c>
      <c r="T36" s="90">
        <v>210</v>
      </c>
      <c r="U36" s="163" t="s">
        <v>369</v>
      </c>
      <c r="V36" s="87">
        <f>ROUND(330*Belarus*(1-B57),2)</f>
        <v>330</v>
      </c>
      <c r="W36" s="87">
        <f>ROUND(345*Belarus*(1-B57),2)</f>
        <v>345</v>
      </c>
      <c r="X36" s="468">
        <f>ROUND(370*Belarus*(1-B57),2)</f>
        <v>370</v>
      </c>
      <c r="Y36" s="90">
        <f>ROUND(309*Belarus*(1-B57),2)</f>
        <v>309</v>
      </c>
      <c r="Z36" s="90">
        <f>ROUND(295*Belarus*(1-B57),2)</f>
        <v>295</v>
      </c>
      <c r="AA36" s="90">
        <f>ROUND(282*Belarus*(1-B57),2)</f>
        <v>282</v>
      </c>
      <c r="AB36" s="87">
        <f>ROUND(484*Belarus*(1-B57),2)</f>
        <v>484</v>
      </c>
      <c r="AC36" s="87">
        <f>ROUND(287*Belarus*(1-B57),2)</f>
        <v>287</v>
      </c>
      <c r="AD36" s="249">
        <f>ROUND(293*Belarus*(1-B57),2)</f>
        <v>293</v>
      </c>
      <c r="AE36" s="249">
        <f>ROUND(286*Belarus*(1-B57),2)</f>
        <v>286</v>
      </c>
      <c r="AF36" s="90" t="s">
        <v>369</v>
      </c>
      <c r="AG36" s="90">
        <f>ROUND(265*Belarus*(1-B57),2)</f>
        <v>265</v>
      </c>
      <c r="AH36" s="90">
        <f>ROUND(250*Belarus*(1-B57),2)</f>
        <v>250</v>
      </c>
      <c r="AI36" s="87">
        <f>ROUND(367*Belarus*(1-B57),2)</f>
        <v>367</v>
      </c>
    </row>
    <row r="37" spans="1:35" ht="27.75" customHeight="1">
      <c r="A37" s="211" t="s">
        <v>6336</v>
      </c>
      <c r="B37" s="162">
        <v>380</v>
      </c>
      <c r="C37" s="163">
        <f>C35</f>
        <v>644</v>
      </c>
      <c r="D37" s="87">
        <f t="shared" ref="D37:Q37" si="20">D35</f>
        <v>540</v>
      </c>
      <c r="E37" s="87">
        <f t="shared" si="20"/>
        <v>564</v>
      </c>
      <c r="F37" s="468">
        <f t="shared" si="20"/>
        <v>608</v>
      </c>
      <c r="G37" s="90">
        <f t="shared" si="20"/>
        <v>504</v>
      </c>
      <c r="H37" s="90">
        <f t="shared" si="20"/>
        <v>482</v>
      </c>
      <c r="I37" s="90">
        <f t="shared" si="20"/>
        <v>460</v>
      </c>
      <c r="J37" s="87">
        <f t="shared" si="20"/>
        <v>798</v>
      </c>
      <c r="K37" s="87">
        <f t="shared" si="20"/>
        <v>468</v>
      </c>
      <c r="L37" s="87">
        <f t="shared" si="20"/>
        <v>478</v>
      </c>
      <c r="M37" s="87">
        <f t="shared" si="20"/>
        <v>467</v>
      </c>
      <c r="N37" s="90">
        <f t="shared" si="20"/>
        <v>535</v>
      </c>
      <c r="O37" s="90">
        <f t="shared" si="20"/>
        <v>432</v>
      </c>
      <c r="P37" s="90">
        <f t="shared" si="20"/>
        <v>406</v>
      </c>
      <c r="Q37" s="87">
        <f t="shared" si="20"/>
        <v>604</v>
      </c>
      <c r="S37" s="1040" t="s">
        <v>4084</v>
      </c>
      <c r="T37" s="90">
        <v>210</v>
      </c>
      <c r="U37" s="163" t="str">
        <f>U36</f>
        <v>-</v>
      </c>
      <c r="V37" s="163">
        <f t="shared" ref="V37:AI37" si="21">V36</f>
        <v>330</v>
      </c>
      <c r="W37" s="163">
        <f t="shared" si="21"/>
        <v>345</v>
      </c>
      <c r="X37" s="468">
        <f t="shared" si="21"/>
        <v>370</v>
      </c>
      <c r="Y37" s="90">
        <f t="shared" si="21"/>
        <v>309</v>
      </c>
      <c r="Z37" s="90">
        <f t="shared" si="21"/>
        <v>295</v>
      </c>
      <c r="AA37" s="90">
        <f t="shared" si="21"/>
        <v>282</v>
      </c>
      <c r="AB37" s="87">
        <f t="shared" si="21"/>
        <v>484</v>
      </c>
      <c r="AC37" s="87">
        <f t="shared" si="21"/>
        <v>287</v>
      </c>
      <c r="AD37" s="249">
        <f t="shared" si="21"/>
        <v>293</v>
      </c>
      <c r="AE37" s="249">
        <f t="shared" si="21"/>
        <v>286</v>
      </c>
      <c r="AF37" s="90" t="str">
        <f t="shared" si="21"/>
        <v>-</v>
      </c>
      <c r="AG37" s="90">
        <f t="shared" si="21"/>
        <v>265</v>
      </c>
      <c r="AH37" s="90">
        <f t="shared" si="21"/>
        <v>250</v>
      </c>
      <c r="AI37" s="87">
        <f t="shared" si="21"/>
        <v>367</v>
      </c>
    </row>
    <row r="38" spans="1:35" ht="24.75" customHeight="1">
      <c r="A38" s="1038" t="s">
        <v>2580</v>
      </c>
      <c r="B38" s="90">
        <v>416</v>
      </c>
      <c r="C38" s="163">
        <f>C35</f>
        <v>644</v>
      </c>
      <c r="D38" s="87">
        <f t="shared" ref="D38:Q38" si="22">D35</f>
        <v>540</v>
      </c>
      <c r="E38" s="87">
        <f t="shared" si="22"/>
        <v>564</v>
      </c>
      <c r="F38" s="468">
        <f t="shared" si="22"/>
        <v>608</v>
      </c>
      <c r="G38" s="90">
        <f t="shared" si="22"/>
        <v>504</v>
      </c>
      <c r="H38" s="90">
        <f t="shared" si="22"/>
        <v>482</v>
      </c>
      <c r="I38" s="90">
        <f t="shared" si="22"/>
        <v>460</v>
      </c>
      <c r="J38" s="87">
        <f t="shared" si="22"/>
        <v>798</v>
      </c>
      <c r="K38" s="87">
        <f t="shared" si="22"/>
        <v>468</v>
      </c>
      <c r="L38" s="87">
        <f t="shared" si="22"/>
        <v>478</v>
      </c>
      <c r="M38" s="87">
        <f t="shared" si="22"/>
        <v>467</v>
      </c>
      <c r="N38" s="90">
        <f t="shared" si="22"/>
        <v>535</v>
      </c>
      <c r="O38" s="90">
        <f t="shared" si="22"/>
        <v>432</v>
      </c>
      <c r="P38" s="90">
        <f t="shared" si="22"/>
        <v>406</v>
      </c>
      <c r="Q38" s="87">
        <f t="shared" si="22"/>
        <v>604</v>
      </c>
      <c r="S38" s="1040" t="s">
        <v>4085</v>
      </c>
      <c r="T38" s="90">
        <v>114</v>
      </c>
      <c r="U38" s="163" t="s">
        <v>369</v>
      </c>
      <c r="V38" s="87">
        <f>ROUND(172*Belarus*(1-B57),2)</f>
        <v>172</v>
      </c>
      <c r="W38" s="87">
        <f>ROUND(179*Belarus*(1-B57),2)</f>
        <v>179</v>
      </c>
      <c r="X38" s="468">
        <f>ROUND(192*Belarus*(1-B57),2)</f>
        <v>192</v>
      </c>
      <c r="Y38" s="90">
        <f>ROUND(161*Belarus*(1-B57),2)</f>
        <v>161</v>
      </c>
      <c r="Z38" s="90">
        <f>ROUND(155*Belarus*(1-B57),2)</f>
        <v>155</v>
      </c>
      <c r="AA38" s="90">
        <f>ROUND(148*Belarus*(1-B57),2)</f>
        <v>148</v>
      </c>
      <c r="AB38" s="87">
        <f>ROUND(250*Belarus*(1-B57),2)</f>
        <v>250</v>
      </c>
      <c r="AC38" s="87">
        <f>ROUND(151*Belarus*(1-B57),2)</f>
        <v>151</v>
      </c>
      <c r="AD38" s="249">
        <f>ROUND(154*Belarus*(1-B57),2)</f>
        <v>154</v>
      </c>
      <c r="AE38" s="249">
        <f>ROUND(150*Belarus*(1-B57),2)</f>
        <v>150</v>
      </c>
      <c r="AF38" s="90" t="s">
        <v>369</v>
      </c>
      <c r="AG38" s="90">
        <f>ROUND(140*Belarus*(1-B57),2)</f>
        <v>140</v>
      </c>
      <c r="AH38" s="90">
        <f>ROUND(132*Belarus*(1-B57),2)</f>
        <v>132</v>
      </c>
      <c r="AI38" s="87">
        <f>ROUND(191*Belarus*(1-B57),2)</f>
        <v>191</v>
      </c>
    </row>
    <row r="39" spans="1:35" ht="19.5" customHeight="1">
      <c r="A39" s="950" t="s">
        <v>5406</v>
      </c>
      <c r="B39" s="951"/>
      <c r="C39" s="951"/>
      <c r="D39" s="951"/>
      <c r="E39" s="951"/>
      <c r="F39" s="951"/>
      <c r="G39" s="951"/>
      <c r="H39" s="951"/>
      <c r="I39" s="951"/>
      <c r="J39" s="951"/>
      <c r="K39" s="951"/>
      <c r="L39" s="951"/>
      <c r="M39" s="951"/>
      <c r="N39" s="951"/>
      <c r="O39" s="951"/>
      <c r="P39" s="951"/>
      <c r="Q39" s="952"/>
      <c r="S39" s="2400" t="s">
        <v>4496</v>
      </c>
      <c r="T39" s="2400"/>
      <c r="U39" s="2400"/>
      <c r="V39" s="2400"/>
      <c r="W39" s="2400"/>
      <c r="X39" s="2400"/>
      <c r="Y39" s="2400"/>
      <c r="Z39" s="2400"/>
      <c r="AA39" s="2400"/>
      <c r="AB39" s="2400"/>
      <c r="AC39" s="2400"/>
      <c r="AD39" s="2400"/>
      <c r="AE39" s="2400"/>
      <c r="AF39" s="2400"/>
      <c r="AG39" s="2400"/>
      <c r="AH39" s="2400"/>
      <c r="AI39" s="2400"/>
    </row>
    <row r="40" spans="1:35" ht="19.5" customHeight="1">
      <c r="A40" s="1038" t="s">
        <v>2448</v>
      </c>
      <c r="B40" s="90">
        <v>110</v>
      </c>
      <c r="C40" s="163">
        <f>ROUND(186*Belarus*(1-B57),2)</f>
        <v>186</v>
      </c>
      <c r="D40" s="87">
        <f>ROUND(158*Belarus*(1-B57),2)</f>
        <v>158</v>
      </c>
      <c r="E40" s="87">
        <f>ROUND(164*Belarus*(1-B57),2)</f>
        <v>164</v>
      </c>
      <c r="F40" s="468">
        <f>ROUND(176*Belarus*(1-B57),2)</f>
        <v>176</v>
      </c>
      <c r="G40" s="90">
        <f>ROUND(148*Belarus*(1-B57),2)</f>
        <v>148</v>
      </c>
      <c r="H40" s="90">
        <f>ROUND(142*Belarus*(1-B57),2)</f>
        <v>142</v>
      </c>
      <c r="I40" s="90">
        <f>ROUND(136*Belarus*(1-B57),2)</f>
        <v>136</v>
      </c>
      <c r="J40" s="87">
        <f>ROUND(228*Belarus*(1-B57),2)</f>
        <v>228</v>
      </c>
      <c r="K40" s="87">
        <f>ROUND(138*Belarus*(1-B57),2)</f>
        <v>138</v>
      </c>
      <c r="L40" s="87">
        <f>ROUND(141*Belarus*(1-B57),2)</f>
        <v>141</v>
      </c>
      <c r="M40" s="87">
        <f>ROUND(138*Belarus*(1-B57),2)</f>
        <v>138</v>
      </c>
      <c r="N40" s="90">
        <f>ROUND(160*Belarus*(1-B57),2)</f>
        <v>160</v>
      </c>
      <c r="O40" s="90">
        <f>ROUND(128*Belarus*(1-B57),2)</f>
        <v>128</v>
      </c>
      <c r="P40" s="90">
        <f>ROUND(121*Belarus*(1-B57),2)</f>
        <v>121</v>
      </c>
      <c r="Q40" s="87">
        <f>ROUND(175*Belarus*(1-B57),2)</f>
        <v>175</v>
      </c>
      <c r="S40" s="2401" t="s">
        <v>807</v>
      </c>
      <c r="T40" s="2403" t="s">
        <v>623</v>
      </c>
      <c r="U40" s="2404" t="s">
        <v>320</v>
      </c>
      <c r="V40" s="2405"/>
      <c r="W40" s="2406"/>
      <c r="X40" s="2407" t="s">
        <v>321</v>
      </c>
      <c r="Y40" s="2407"/>
      <c r="Z40" s="2407"/>
      <c r="AA40" s="2407"/>
      <c r="AB40" s="2408" t="s">
        <v>528</v>
      </c>
      <c r="AC40" s="2408" t="s">
        <v>323</v>
      </c>
      <c r="AD40" s="2388" t="s">
        <v>620</v>
      </c>
      <c r="AE40" s="2389"/>
      <c r="AF40" s="1479" t="s">
        <v>324</v>
      </c>
      <c r="AG40" s="1517"/>
      <c r="AH40" s="1480"/>
      <c r="AI40" s="63" t="s">
        <v>325</v>
      </c>
    </row>
    <row r="41" spans="1:35" ht="27" customHeight="1">
      <c r="A41" s="1038" t="s">
        <v>2449</v>
      </c>
      <c r="B41" s="90">
        <v>160</v>
      </c>
      <c r="C41" s="163">
        <f>ROUND(284*Belarus*(1-B57),2)</f>
        <v>284</v>
      </c>
      <c r="D41" s="87">
        <f>ROUND(239*Belarus*(1-B57),2)</f>
        <v>239</v>
      </c>
      <c r="E41" s="87">
        <f>ROUND(251*Belarus*(1-B57),2)</f>
        <v>251</v>
      </c>
      <c r="F41" s="468">
        <f>ROUND(269*Belarus*(1-B57),2)</f>
        <v>269</v>
      </c>
      <c r="G41" s="90">
        <f>ROUND(224*Belarus*(1-B57),2)</f>
        <v>224</v>
      </c>
      <c r="H41" s="90">
        <f>ROUND(215*Belarus*(1-B57),2)</f>
        <v>215</v>
      </c>
      <c r="I41" s="90">
        <f>ROUND(205*Belarus*(1-B57),2)</f>
        <v>205</v>
      </c>
      <c r="J41" s="87">
        <f>ROUND(350*Belarus*(1-B57),2)</f>
        <v>350</v>
      </c>
      <c r="K41" s="87">
        <f>ROUND(208*Belarus*(1-B57),2)</f>
        <v>208</v>
      </c>
      <c r="L41" s="87">
        <f>ROUND(213*Belarus*(1-B57),2)</f>
        <v>213</v>
      </c>
      <c r="M41" s="87">
        <f>ROUND(208*Belarus*(1-B57),2)</f>
        <v>208</v>
      </c>
      <c r="N41" s="90">
        <f>ROUND(237*Belarus*(1-B57),2)</f>
        <v>237</v>
      </c>
      <c r="O41" s="90">
        <f>ROUND(193*Belarus*(1-B57),2)</f>
        <v>193</v>
      </c>
      <c r="P41" s="90">
        <f>ROUND(182*Belarus*(1-B57),2)</f>
        <v>182</v>
      </c>
      <c r="Q41" s="87">
        <f>ROUND(267*Belarus*(1-B57),2)</f>
        <v>267</v>
      </c>
      <c r="S41" s="2402"/>
      <c r="T41" s="2034"/>
      <c r="U41" s="940" t="s">
        <v>670</v>
      </c>
      <c r="V41" s="940" t="s">
        <v>668</v>
      </c>
      <c r="W41" s="940" t="s">
        <v>329</v>
      </c>
      <c r="X41" s="941" t="s">
        <v>669</v>
      </c>
      <c r="Y41" s="942" t="s">
        <v>331</v>
      </c>
      <c r="Z41" s="942" t="s">
        <v>332</v>
      </c>
      <c r="AA41" s="943" t="s">
        <v>333</v>
      </c>
      <c r="AB41" s="2409"/>
      <c r="AC41" s="2409"/>
      <c r="AD41" s="2390"/>
      <c r="AE41" s="2391"/>
      <c r="AF41" s="107" t="s">
        <v>4497</v>
      </c>
      <c r="AG41" s="942" t="s">
        <v>334</v>
      </c>
      <c r="AH41" s="107" t="s">
        <v>2569</v>
      </c>
      <c r="AI41" s="168" t="s">
        <v>2570</v>
      </c>
    </row>
    <row r="42" spans="1:35" ht="18.75" customHeight="1">
      <c r="A42" s="1039" t="s">
        <v>2450</v>
      </c>
      <c r="B42" s="90">
        <v>210</v>
      </c>
      <c r="C42" s="163">
        <f>ROUND(392*Belarus*(1-B57),2)</f>
        <v>392</v>
      </c>
      <c r="D42" s="87">
        <f>ROUND(330*Belarus*(1-B57),2)</f>
        <v>330</v>
      </c>
      <c r="E42" s="87">
        <f>ROUND(345*Belarus*(1-B57),2)</f>
        <v>345</v>
      </c>
      <c r="F42" s="468">
        <f>ROUND(370*Belarus*(1-B57),2)</f>
        <v>370</v>
      </c>
      <c r="G42" s="90">
        <f>ROUND(309*Belarus*(1-B57),2)</f>
        <v>309</v>
      </c>
      <c r="H42" s="90">
        <f>ROUND(295*Belarus*(1-B57),2)</f>
        <v>295</v>
      </c>
      <c r="I42" s="90">
        <f>ROUND(282*Belarus*(1-B57),2)</f>
        <v>282</v>
      </c>
      <c r="J42" s="87">
        <f>ROUND(484*Belarus*(1-B57),2)</f>
        <v>484</v>
      </c>
      <c r="K42" s="87">
        <f>ROUND(287*Belarus*(1-B57),2)</f>
        <v>287</v>
      </c>
      <c r="L42" s="87">
        <f>ROUND(293*Belarus*(1-B57),2)</f>
        <v>293</v>
      </c>
      <c r="M42" s="87">
        <f>ROUND(286*Belarus*(1-B57),2)</f>
        <v>286</v>
      </c>
      <c r="N42" s="90">
        <f>ROUND(327*Belarus*(1-B57),2)</f>
        <v>327</v>
      </c>
      <c r="O42" s="90">
        <f>ROUND(265*Belarus*(1-B57),2)</f>
        <v>265</v>
      </c>
      <c r="P42" s="90">
        <f>ROUND(250*Belarus*(1-B57),2)</f>
        <v>250</v>
      </c>
      <c r="Q42" s="87">
        <f>ROUND(367*Belarus*(1-B57),2)</f>
        <v>367</v>
      </c>
      <c r="S42" s="2397" t="s">
        <v>4498</v>
      </c>
      <c r="T42" s="944">
        <v>70</v>
      </c>
      <c r="U42" s="945" t="s">
        <v>369</v>
      </c>
      <c r="V42" s="946">
        <f>ROUND(126*Belarus*(1-B57),2)</f>
        <v>126</v>
      </c>
      <c r="W42" s="946">
        <f>ROUND(116*Belarus*(1-B57),2)</f>
        <v>116</v>
      </c>
      <c r="X42" s="468">
        <f>ROUND(157*Belarus*(1-B57),2)</f>
        <v>157</v>
      </c>
      <c r="Y42" s="468">
        <f>ROUND(107*Belarus*(1-B57),2)</f>
        <v>107</v>
      </c>
      <c r="Z42" s="468">
        <f>ROUND(107*Belarus*(1-B57),2)</f>
        <v>107</v>
      </c>
      <c r="AA42" s="468">
        <f>ROUND(105*Belarus*(1-B57),2)</f>
        <v>105</v>
      </c>
      <c r="AB42" s="947">
        <f>ROUND(175*Belarus*(1-B57),2)</f>
        <v>175</v>
      </c>
      <c r="AC42" s="946">
        <f>ROUND(126*Belarus*(1-B57),2)</f>
        <v>126</v>
      </c>
      <c r="AD42" s="2392">
        <f>ROUND(129*Belarus*(1-B57),2)</f>
        <v>129</v>
      </c>
      <c r="AE42" s="2393"/>
      <c r="AF42" s="948" t="s">
        <v>369</v>
      </c>
      <c r="AG42" s="468">
        <f>ROUND(119*Belarus*(1-B57),2)</f>
        <v>119</v>
      </c>
      <c r="AH42" s="468">
        <f>ROUND(99*Belarus*(1-B57),2)</f>
        <v>99</v>
      </c>
      <c r="AI42" s="946">
        <f>ROUND(157*Belarus*(1-B57),2)</f>
        <v>157</v>
      </c>
    </row>
    <row r="43" spans="1:35" ht="18.75" customHeight="1">
      <c r="A43" s="1039" t="s">
        <v>2452</v>
      </c>
      <c r="B43" s="90">
        <v>260</v>
      </c>
      <c r="C43" s="163">
        <f>ROUND(486*Belarus*(1-B57),2)</f>
        <v>486</v>
      </c>
      <c r="D43" s="87">
        <f>ROUND(409*Belarus*(1-B57),2)</f>
        <v>409</v>
      </c>
      <c r="E43" s="87">
        <f>ROUND(428*Belarus*(1-B57),2)</f>
        <v>428</v>
      </c>
      <c r="F43" s="468">
        <f>ROUND(460*Belarus*(1-B57),2)</f>
        <v>460</v>
      </c>
      <c r="G43" s="90">
        <f>ROUND(382*Belarus*(1-B57),2)</f>
        <v>382</v>
      </c>
      <c r="H43" s="90">
        <f>ROUND(365*Belarus*(1-B57),2)</f>
        <v>365</v>
      </c>
      <c r="I43" s="90">
        <f>ROUND(348*Belarus*(1-B57),2)</f>
        <v>348</v>
      </c>
      <c r="J43" s="87">
        <f>ROUND(602*Belarus*(1-B57),2)</f>
        <v>602</v>
      </c>
      <c r="K43" s="87">
        <f>ROUND(354*Belarus*(1-B57),2)</f>
        <v>354</v>
      </c>
      <c r="L43" s="87">
        <f>ROUND(362*Belarus*(1-B57),2)</f>
        <v>362</v>
      </c>
      <c r="M43" s="87">
        <f>ROUND(354*Belarus*(1-B57),2)</f>
        <v>354</v>
      </c>
      <c r="N43" s="90">
        <f>ROUND(416*Belarus*(1-B57),2)</f>
        <v>416</v>
      </c>
      <c r="O43" s="90">
        <f>ROUND(327*Belarus*(1-B57),2)</f>
        <v>327</v>
      </c>
      <c r="P43" s="90">
        <f>ROUND(308*Belarus*(1-B57),2)</f>
        <v>308</v>
      </c>
      <c r="Q43" s="87">
        <f>ROUND(456*Belarus*(1-B57),2)</f>
        <v>456</v>
      </c>
      <c r="S43" s="2398"/>
      <c r="T43" s="944">
        <v>80</v>
      </c>
      <c r="U43" s="945" t="s">
        <v>369</v>
      </c>
      <c r="V43" s="946">
        <f>ROUND(143*Belarus*(1-B57),2)</f>
        <v>143</v>
      </c>
      <c r="W43" s="946">
        <f>ROUND(131*Belarus*(1-B57),2)</f>
        <v>131</v>
      </c>
      <c r="X43" s="468">
        <f>ROUND(180*Belarus*(1-B57),2)</f>
        <v>180</v>
      </c>
      <c r="Y43" s="468">
        <f>ROUND(120*Belarus*(1-B57),2)</f>
        <v>120</v>
      </c>
      <c r="Z43" s="468">
        <f>ROUND(122*Belarus*(1-B57),2)</f>
        <v>122</v>
      </c>
      <c r="AA43" s="468">
        <f>ROUND(118*Belarus*(1-B57),2)</f>
        <v>118</v>
      </c>
      <c r="AB43" s="947">
        <f>ROUND(189*Belarus*(1-B57),2)</f>
        <v>189</v>
      </c>
      <c r="AC43" s="946">
        <f>ROUND(144*Belarus*(1-B57),2)</f>
        <v>144</v>
      </c>
      <c r="AD43" s="2392">
        <f>ROUND(147*Belarus*(1-B57),2)</f>
        <v>147</v>
      </c>
      <c r="AE43" s="2393"/>
      <c r="AF43" s="948" t="s">
        <v>369</v>
      </c>
      <c r="AG43" s="468">
        <f>ROUND(136*Belarus*(1-B57),2)</f>
        <v>136</v>
      </c>
      <c r="AH43" s="468">
        <f>ROUND(112*Belarus*(1-B57),2)</f>
        <v>112</v>
      </c>
      <c r="AI43" s="946">
        <f>ROUND(180*Belarus*(1-B57),2)</f>
        <v>180</v>
      </c>
    </row>
    <row r="44" spans="1:35" ht="18.75" customHeight="1">
      <c r="A44" s="1038" t="s">
        <v>2453</v>
      </c>
      <c r="B44" s="90">
        <v>312</v>
      </c>
      <c r="C44" s="163">
        <f>C43</f>
        <v>486</v>
      </c>
      <c r="D44" s="163">
        <f t="shared" ref="D44:Q44" si="23">D43</f>
        <v>409</v>
      </c>
      <c r="E44" s="163">
        <f t="shared" si="23"/>
        <v>428</v>
      </c>
      <c r="F44" s="468">
        <f t="shared" si="23"/>
        <v>460</v>
      </c>
      <c r="G44" s="90">
        <f t="shared" si="23"/>
        <v>382</v>
      </c>
      <c r="H44" s="90">
        <f t="shared" si="23"/>
        <v>365</v>
      </c>
      <c r="I44" s="90">
        <f t="shared" si="23"/>
        <v>348</v>
      </c>
      <c r="J44" s="87">
        <f t="shared" si="23"/>
        <v>602</v>
      </c>
      <c r="K44" s="87">
        <f t="shared" si="23"/>
        <v>354</v>
      </c>
      <c r="L44" s="87">
        <f t="shared" si="23"/>
        <v>362</v>
      </c>
      <c r="M44" s="87">
        <f t="shared" si="23"/>
        <v>354</v>
      </c>
      <c r="N44" s="90">
        <f t="shared" si="23"/>
        <v>416</v>
      </c>
      <c r="O44" s="90">
        <f t="shared" si="23"/>
        <v>327</v>
      </c>
      <c r="P44" s="90">
        <f t="shared" si="23"/>
        <v>308</v>
      </c>
      <c r="Q44" s="163">
        <f t="shared" si="23"/>
        <v>456</v>
      </c>
      <c r="S44" s="2398"/>
      <c r="T44" s="944">
        <v>90</v>
      </c>
      <c r="U44" s="945" t="s">
        <v>369</v>
      </c>
      <c r="V44" s="946">
        <f>ROUND(154*Belarus*(1-B57),2)</f>
        <v>154</v>
      </c>
      <c r="W44" s="946">
        <f>ROUND(140*Belarus*(1-B57),2)</f>
        <v>140</v>
      </c>
      <c r="X44" s="468">
        <f>ROUND(193*Belarus*(1-B57),2)</f>
        <v>193</v>
      </c>
      <c r="Y44" s="468">
        <f>ROUND(129*Belarus*(1-B57),2)</f>
        <v>129</v>
      </c>
      <c r="Z44" s="468">
        <f>ROUND(130*Belarus*(1-B57),2)</f>
        <v>130</v>
      </c>
      <c r="AA44" s="468">
        <f>ROUND(127*Belarus*(1-B57),2)</f>
        <v>127</v>
      </c>
      <c r="AB44" s="947">
        <f>ROUND(213*Belarus*(1-B57),2)</f>
        <v>213</v>
      </c>
      <c r="AC44" s="946">
        <f>ROUND(155*Belarus*(1-B57),2)</f>
        <v>155</v>
      </c>
      <c r="AD44" s="2392">
        <f>ROUND(159*Belarus*(1-B57),2)</f>
        <v>159</v>
      </c>
      <c r="AE44" s="2393"/>
      <c r="AF44" s="948" t="s">
        <v>369</v>
      </c>
      <c r="AG44" s="468">
        <f>ROUND(146*Belarus*(1-B57),2)</f>
        <v>146</v>
      </c>
      <c r="AH44" s="468">
        <f>ROUND(119*Belarus*(1-B57),2)</f>
        <v>119</v>
      </c>
      <c r="AI44" s="946">
        <f>ROUND(193*Belarus*(1-B57),2)</f>
        <v>193</v>
      </c>
    </row>
    <row r="45" spans="1:35" ht="18.75" customHeight="1">
      <c r="A45" s="1038" t="s">
        <v>5387</v>
      </c>
      <c r="B45" s="90">
        <v>95</v>
      </c>
      <c r="C45" s="163">
        <f>ROUND(160*Belarus*(1-B57),2)</f>
        <v>160</v>
      </c>
      <c r="D45" s="87">
        <f>ROUND(136*Belarus*(1-B57),2)</f>
        <v>136</v>
      </c>
      <c r="E45" s="87">
        <f>ROUND(142*Belarus*(1-B57),2)</f>
        <v>142</v>
      </c>
      <c r="F45" s="468">
        <f>ROUND(151*Belarus*(1-B57),2)</f>
        <v>151</v>
      </c>
      <c r="G45" s="90">
        <f>ROUND(128*Belarus*(1-B57),2)</f>
        <v>128</v>
      </c>
      <c r="H45" s="90">
        <f>ROUND(123*Belarus*(1-B57),2)</f>
        <v>123</v>
      </c>
      <c r="I45" s="90">
        <f>ROUND(117*Belarus*(1-B57),2)</f>
        <v>117</v>
      </c>
      <c r="J45" s="87">
        <f>ROUND(195*Belarus*(1-B57),2)</f>
        <v>195</v>
      </c>
      <c r="K45" s="87">
        <f>ROUND(119*Belarus*(1-B57),2)</f>
        <v>119</v>
      </c>
      <c r="L45" s="87">
        <f>ROUND(122*Belarus*(1-B57),2)</f>
        <v>122</v>
      </c>
      <c r="M45" s="87">
        <f>ROUND(119*Belarus*(1-B57),2)</f>
        <v>119</v>
      </c>
      <c r="N45" s="90">
        <f>ROUND(135*Belarus*(1-B57),2)</f>
        <v>135</v>
      </c>
      <c r="O45" s="90">
        <f>ROUND(158*Belarus*(1-B57),2)</f>
        <v>158</v>
      </c>
      <c r="P45" s="90">
        <f>ROUND(105*Belarus*(1-B57),2)</f>
        <v>105</v>
      </c>
      <c r="Q45" s="87">
        <f>ROUND(150*Belarus*(1-B57),2)</f>
        <v>150</v>
      </c>
      <c r="S45" s="2398"/>
      <c r="T45" s="944" t="s">
        <v>4499</v>
      </c>
      <c r="U45" s="945" t="s">
        <v>369</v>
      </c>
      <c r="V45" s="946">
        <f>ROUND(181*Belarus*(1-B57),2)</f>
        <v>181</v>
      </c>
      <c r="W45" s="946">
        <f>ROUND(164*Belarus*(1-B57),2)</f>
        <v>164</v>
      </c>
      <c r="X45" s="468">
        <f>ROUND(229*Belarus*(1-B57),2)</f>
        <v>229</v>
      </c>
      <c r="Y45" s="468">
        <f>ROUND(152*Belarus*(1-B57),2)</f>
        <v>152</v>
      </c>
      <c r="Z45" s="468">
        <f>ROUND(153*Belarus*(1-B57),2)</f>
        <v>153</v>
      </c>
      <c r="AA45" s="468">
        <f>ROUND(149*Belarus*(1-B57),2)</f>
        <v>149</v>
      </c>
      <c r="AB45" s="947">
        <f>ROUND(238*Belarus*(1-B57),2)</f>
        <v>238</v>
      </c>
      <c r="AC45" s="946">
        <f>ROUND(182*Belarus*(1-B57),2)</f>
        <v>182</v>
      </c>
      <c r="AD45" s="2392">
        <f>ROUND(186*Belarus*(1-B57),2)</f>
        <v>186</v>
      </c>
      <c r="AE45" s="2393"/>
      <c r="AF45" s="948" t="s">
        <v>369</v>
      </c>
      <c r="AG45" s="468">
        <f>ROUND(172*Belarus*(1-B57),2)</f>
        <v>172</v>
      </c>
      <c r="AH45" s="468">
        <f>ROUND(139*Belarus*(1-B57),2)</f>
        <v>139</v>
      </c>
      <c r="AI45" s="946">
        <f>ROUND(229*Belarus*(1-B57),2)</f>
        <v>229</v>
      </c>
    </row>
    <row r="46" spans="1:35" ht="18.75" customHeight="1">
      <c r="A46" s="1038" t="s">
        <v>2451</v>
      </c>
      <c r="B46" s="90">
        <v>83</v>
      </c>
      <c r="C46" s="163">
        <f>ROUND(140*Belarus*(1-B57),2)</f>
        <v>140</v>
      </c>
      <c r="D46" s="87">
        <f>ROUND(120*Belarus*(1-B57),2)</f>
        <v>120</v>
      </c>
      <c r="E46" s="87">
        <f>ROUND(125*Belarus*(1-B57),2)</f>
        <v>125</v>
      </c>
      <c r="F46" s="468">
        <f>ROUND(133*Belarus*(1-B57),2)</f>
        <v>133</v>
      </c>
      <c r="G46" s="90">
        <f>ROUND(113*Belarus*(1-B57),2)</f>
        <v>113</v>
      </c>
      <c r="H46" s="90">
        <f>ROUND(108*Belarus*(1-B57),2)</f>
        <v>108</v>
      </c>
      <c r="I46" s="90">
        <f>ROUND(104*Belarus*(1-B57),2)</f>
        <v>104</v>
      </c>
      <c r="J46" s="87">
        <f>ROUND(171*Belarus*(1-B57),2)</f>
        <v>171</v>
      </c>
      <c r="K46" s="87">
        <f>ROUND(105*Belarus*(1-B57),2)</f>
        <v>105</v>
      </c>
      <c r="L46" s="87">
        <f>ROUND(107*Belarus*(1-B57),2)</f>
        <v>107</v>
      </c>
      <c r="M46" s="87">
        <f>ROUND(105*Belarus*(1-B57),2)</f>
        <v>105</v>
      </c>
      <c r="N46" s="90">
        <f>ROUND(119*Belarus*(1-B57),2)</f>
        <v>119</v>
      </c>
      <c r="O46" s="90">
        <f>ROUND(139*Belarus*(1-B57),2)</f>
        <v>139</v>
      </c>
      <c r="P46" s="90">
        <f>ROUND(93*Belarus*(1-B57),2)</f>
        <v>93</v>
      </c>
      <c r="Q46" s="87">
        <f>ROUND(132*Belarus*(1-B57),2)</f>
        <v>132</v>
      </c>
      <c r="S46" s="2398"/>
      <c r="T46" s="944" t="s">
        <v>4500</v>
      </c>
      <c r="U46" s="945" t="s">
        <v>369</v>
      </c>
      <c r="V46" s="946">
        <f>ROUND(222*Belarus*(1-B57),2)</f>
        <v>222</v>
      </c>
      <c r="W46" s="946">
        <f>ROUND(201*Belarus*(1-B57),2)</f>
        <v>201</v>
      </c>
      <c r="X46" s="468">
        <f>ROUND(282*Belarus*(1-B57),2)</f>
        <v>282</v>
      </c>
      <c r="Y46" s="468">
        <f>ROUND(185*Belarus*(1-B57),2)</f>
        <v>185</v>
      </c>
      <c r="Z46" s="468">
        <f>ROUND(187*Belarus*(1-B57),2)</f>
        <v>187</v>
      </c>
      <c r="AA46" s="468">
        <f>ROUND(183*Belarus*(1-B57),2)</f>
        <v>183</v>
      </c>
      <c r="AB46" s="947">
        <f>ROUND(312*Belarus*(1-B57),2)</f>
        <v>312</v>
      </c>
      <c r="AC46" s="946">
        <f>ROUND(223*Belarus*(1-B57),2)</f>
        <v>223</v>
      </c>
      <c r="AD46" s="2392">
        <f>ROUND(228*Belarus*(1-B57),2)</f>
        <v>228</v>
      </c>
      <c r="AE46" s="2393"/>
      <c r="AF46" s="948" t="s">
        <v>369</v>
      </c>
      <c r="AG46" s="468">
        <f>ROUND(210*Belarus*(1-B57),2)</f>
        <v>210</v>
      </c>
      <c r="AH46" s="468">
        <f>ROUND(170*Belarus*(1-B57),2)</f>
        <v>170</v>
      </c>
      <c r="AI46" s="946">
        <f>ROUND(282*Belarus*(1-B57),2)</f>
        <v>282</v>
      </c>
    </row>
    <row r="47" spans="1:35" ht="18.75" customHeight="1">
      <c r="A47" s="1640" t="s">
        <v>2581</v>
      </c>
      <c r="B47" s="1640"/>
      <c r="C47" s="1640"/>
      <c r="D47" s="1640"/>
      <c r="E47" s="1640"/>
      <c r="F47" s="1640"/>
      <c r="G47" s="1640"/>
      <c r="H47" s="1640"/>
      <c r="I47" s="1640"/>
      <c r="J47" s="1640"/>
      <c r="K47" s="1640"/>
      <c r="L47" s="1640"/>
      <c r="M47" s="1640"/>
      <c r="N47" s="1640"/>
      <c r="O47" s="1640"/>
      <c r="P47" s="1640"/>
      <c r="Q47" s="1640"/>
      <c r="S47" s="2398"/>
      <c r="T47" s="944" t="s">
        <v>4501</v>
      </c>
      <c r="U47" s="945" t="s">
        <v>369</v>
      </c>
      <c r="V47" s="946">
        <f>ROUND(293*Belarus*(1-B57),2)</f>
        <v>293</v>
      </c>
      <c r="W47" s="946">
        <f>ROUND(265*Belarus*(1-B57),2)</f>
        <v>265</v>
      </c>
      <c r="X47" s="468">
        <f>ROUND(370*Belarus*(1-B57),2)</f>
        <v>370</v>
      </c>
      <c r="Y47" s="468">
        <f>ROUND(241*Belarus*(1-B57),2)</f>
        <v>241</v>
      </c>
      <c r="Z47" s="468">
        <f>ROUND(244*Belarus*(1-B57),2)</f>
        <v>244</v>
      </c>
      <c r="AA47" s="468">
        <f>ROUND(238*Belarus*(1-B57),2)</f>
        <v>238</v>
      </c>
      <c r="AB47" s="947">
        <f>ROUND(411*Belarus*(1-B57),2)</f>
        <v>411</v>
      </c>
      <c r="AC47" s="946">
        <f>ROUND(293*Belarus*(1-B57),2)</f>
        <v>293</v>
      </c>
      <c r="AD47" s="2392">
        <f>ROUND(300*Belarus*(1-B57),2)</f>
        <v>300</v>
      </c>
      <c r="AE47" s="2393"/>
      <c r="AF47" s="948" t="s">
        <v>369</v>
      </c>
      <c r="AG47" s="468">
        <f>ROUND(276*Belarus*(1-B57),2)</f>
        <v>276</v>
      </c>
      <c r="AH47" s="468">
        <f>ROUND(221*Belarus*(1-B57),2)</f>
        <v>221</v>
      </c>
      <c r="AI47" s="946">
        <f>ROUND(370*Belarus*(1-B57),2)</f>
        <v>370</v>
      </c>
    </row>
    <row r="48" spans="1:35" ht="28.5" customHeight="1">
      <c r="A48" s="211" t="s">
        <v>2582</v>
      </c>
      <c r="B48" s="90">
        <v>145</v>
      </c>
      <c r="C48" s="1488" t="str">
        <f>(ROUND(125*Belarus*(1-B57),2))&amp; " / "&amp;ROUND(135*Belarus*(1-B57),2)</f>
        <v>125 / 135</v>
      </c>
      <c r="D48" s="1489"/>
      <c r="E48" s="1489"/>
      <c r="F48" s="1489"/>
      <c r="G48" s="1489"/>
      <c r="H48" s="1489"/>
      <c r="I48" s="1489"/>
      <c r="J48" s="1489"/>
      <c r="K48" s="1489"/>
      <c r="L48" s="1489"/>
      <c r="M48" s="1489"/>
      <c r="N48" s="1489"/>
      <c r="O48" s="1489"/>
      <c r="P48" s="1489"/>
      <c r="Q48" s="1490"/>
      <c r="S48" s="2398"/>
      <c r="T48" s="944" t="s">
        <v>4502</v>
      </c>
      <c r="U48" s="945" t="s">
        <v>369</v>
      </c>
      <c r="V48" s="946">
        <f>ROUND(348*Belarus*(1-B57),2)</f>
        <v>348</v>
      </c>
      <c r="W48" s="946">
        <f>ROUND(314*Belarus*(1-B57),2)</f>
        <v>314</v>
      </c>
      <c r="X48" s="468">
        <f>ROUND(440*Belarus*(1-B57),2)</f>
        <v>440</v>
      </c>
      <c r="Y48" s="468">
        <f>ROUND(288*Belarus*(1-B57),2)</f>
        <v>288</v>
      </c>
      <c r="Z48" s="468">
        <f>ROUND(291*Belarus*(1-B57),2)</f>
        <v>291</v>
      </c>
      <c r="AA48" s="468">
        <f>ROUND(283*Belarus*(1-B57),2)</f>
        <v>283</v>
      </c>
      <c r="AB48" s="947">
        <f>ROUND(491*Belarus*(1-B57),2)</f>
        <v>491</v>
      </c>
      <c r="AC48" s="946">
        <f>ROUND(347*Belarus*(1-B57),2)</f>
        <v>347</v>
      </c>
      <c r="AD48" s="2392">
        <f>ROUND(355*Belarus*(1-B57),2)</f>
        <v>355</v>
      </c>
      <c r="AE48" s="2393"/>
      <c r="AF48" s="948" t="s">
        <v>369</v>
      </c>
      <c r="AG48" s="468">
        <f>ROUND(327*Belarus*(1-B57),2)</f>
        <v>327</v>
      </c>
      <c r="AH48" s="468">
        <f>ROUND(263*Belarus*(1-B57),2)</f>
        <v>263</v>
      </c>
      <c r="AI48" s="946">
        <f>ROUND(440*Belarus*(1-B57),2)</f>
        <v>440</v>
      </c>
    </row>
    <row r="49" spans="1:35" ht="18.75" customHeight="1">
      <c r="A49" s="469"/>
      <c r="B49" s="128"/>
      <c r="C49" s="167"/>
      <c r="D49" s="167"/>
      <c r="E49" s="167"/>
      <c r="F49" s="167"/>
      <c r="G49" s="167"/>
      <c r="H49" s="167"/>
      <c r="I49" s="167"/>
      <c r="J49" s="167"/>
      <c r="K49" s="167"/>
      <c r="L49" s="167"/>
      <c r="M49" s="167"/>
      <c r="N49" s="167"/>
      <c r="O49" s="167"/>
      <c r="P49" s="167"/>
      <c r="Q49" s="167"/>
      <c r="S49" s="2398"/>
      <c r="T49" s="944" t="s">
        <v>4503</v>
      </c>
      <c r="U49" s="945" t="s">
        <v>369</v>
      </c>
      <c r="V49" s="946">
        <f>ROUND(569*Belarus*(1-B57),2)</f>
        <v>569</v>
      </c>
      <c r="W49" s="946">
        <f>ROUND(513*Belarus*(1-B57),2)</f>
        <v>513</v>
      </c>
      <c r="X49" s="468">
        <f>ROUND(724*Belarus*(1-B57),2)</f>
        <v>724</v>
      </c>
      <c r="Y49" s="468">
        <f>ROUND(468*Belarus*(1-B57),2)</f>
        <v>468</v>
      </c>
      <c r="Z49" s="468">
        <f>ROUND(474*Belarus*(1-B57),2)</f>
        <v>474</v>
      </c>
      <c r="AA49" s="468">
        <f>ROUND(461*Belarus*(1-B57),2)</f>
        <v>461</v>
      </c>
      <c r="AB49" s="947">
        <f>ROUND(608*Belarus*(1-B57),2)</f>
        <v>608</v>
      </c>
      <c r="AC49" s="946">
        <f>ROUND(566*Belarus*(1-B57),2)</f>
        <v>566</v>
      </c>
      <c r="AD49" s="2392">
        <f>ROUND(579*Belarus*(1-B57),2)</f>
        <v>579</v>
      </c>
      <c r="AE49" s="2393"/>
      <c r="AF49" s="948" t="s">
        <v>369</v>
      </c>
      <c r="AG49" s="468">
        <f>ROUND(534*Belarus*(1-B57),2)</f>
        <v>534</v>
      </c>
      <c r="AH49" s="468">
        <f>ROUND(427*Belarus*(1-B57),2)</f>
        <v>427</v>
      </c>
      <c r="AI49" s="946">
        <f>ROUND(724*Belarus*(1-B57),2)</f>
        <v>724</v>
      </c>
    </row>
    <row r="50" spans="1:35" ht="18.75" customHeight="1">
      <c r="A50" s="1638" t="s">
        <v>2583</v>
      </c>
      <c r="B50" s="1638"/>
      <c r="C50" s="1638"/>
      <c r="D50" s="1638"/>
      <c r="E50" s="1638"/>
      <c r="F50" s="1638"/>
      <c r="G50" s="1638"/>
      <c r="H50" s="1638"/>
      <c r="I50" s="1638"/>
      <c r="J50" s="1638"/>
      <c r="K50" s="1638"/>
      <c r="L50" s="1638"/>
      <c r="M50" s="1638"/>
      <c r="N50" s="1638"/>
      <c r="O50" s="1638"/>
      <c r="P50" s="1638"/>
      <c r="Q50" s="1638"/>
      <c r="S50" s="2399"/>
      <c r="T50" s="944" t="s">
        <v>4504</v>
      </c>
      <c r="U50" s="945" t="s">
        <v>369</v>
      </c>
      <c r="V50" s="946">
        <f>ROUND(846*Belarus*(1-B57),2)</f>
        <v>846</v>
      </c>
      <c r="W50" s="946">
        <f>ROUND(762*Belarus*(1-B57),2)</f>
        <v>762</v>
      </c>
      <c r="X50" s="468">
        <f>ROUND(1078*Belarus*(1-B57),2)</f>
        <v>1078</v>
      </c>
      <c r="Y50" s="468">
        <f>ROUND(694*Belarus*(1-B57),2)</f>
        <v>694</v>
      </c>
      <c r="Z50" s="468">
        <f>ROUND(703*Belarus*(1-B57),2)</f>
        <v>703</v>
      </c>
      <c r="AA50" s="468">
        <f>ROUND(682*Belarus*(1-B57),2)</f>
        <v>682</v>
      </c>
      <c r="AB50" s="947">
        <f>ROUND(1199*Belarus*(1-B57),2)</f>
        <v>1199</v>
      </c>
      <c r="AC50" s="946">
        <f>ROUND(842*Belarus*(1-B57),2)</f>
        <v>842</v>
      </c>
      <c r="AD50" s="2392">
        <f>ROUND(862*Belarus*(1-B57),2)</f>
        <v>862</v>
      </c>
      <c r="AE50" s="2393"/>
      <c r="AF50" s="948" t="s">
        <v>369</v>
      </c>
      <c r="AG50" s="468">
        <f>ROUND(794*Belarus*(1-B57),2)</f>
        <v>794</v>
      </c>
      <c r="AH50" s="468">
        <f>ROUND(634*Belarus*(1-B57),2)</f>
        <v>634</v>
      </c>
      <c r="AI50" s="946">
        <f>ROUND(1078*Belarus*(1-B57),2)</f>
        <v>1078</v>
      </c>
    </row>
    <row r="51" spans="1:35" ht="14.25" customHeight="1"/>
    <row r="52" spans="1:35" ht="14.25" customHeight="1"/>
    <row r="56" spans="1:35">
      <c r="A56" s="1888" t="s">
        <v>508</v>
      </c>
      <c r="B56" s="1595" t="s">
        <v>2585</v>
      </c>
      <c r="C56" s="1595"/>
      <c r="D56" s="1595"/>
      <c r="E56" s="1595"/>
      <c r="F56" s="1595"/>
      <c r="G56" s="2394"/>
      <c r="H56" s="2394"/>
      <c r="I56" s="2394"/>
      <c r="J56" s="2394"/>
      <c r="K56" s="2394"/>
    </row>
    <row r="57" spans="1:35">
      <c r="A57" s="1889"/>
      <c r="B57" s="2396">
        <v>0</v>
      </c>
      <c r="C57" s="2396"/>
      <c r="D57" s="2396"/>
      <c r="E57" s="2396"/>
      <c r="F57" s="2396"/>
      <c r="G57" s="2395"/>
      <c r="H57" s="2395"/>
      <c r="I57" s="2395"/>
      <c r="J57" s="2395"/>
      <c r="K57" s="2395"/>
    </row>
  </sheetData>
  <sheetProtection selectLockedCells="1" selectUnlockedCells="1"/>
  <mergeCells count="68">
    <mergeCell ref="AG2:AI2"/>
    <mergeCell ref="AG3:AI3"/>
    <mergeCell ref="A4:A6"/>
    <mergeCell ref="B4:B6"/>
    <mergeCell ref="C4:Q4"/>
    <mergeCell ref="S4:S6"/>
    <mergeCell ref="T4:T6"/>
    <mergeCell ref="U4:AI4"/>
    <mergeCell ref="C5:E5"/>
    <mergeCell ref="F5:I5"/>
    <mergeCell ref="J5:J6"/>
    <mergeCell ref="K5:K6"/>
    <mergeCell ref="L5:L6"/>
    <mergeCell ref="A1:C1"/>
    <mergeCell ref="A2:AA2"/>
    <mergeCell ref="U5:W5"/>
    <mergeCell ref="X5:AA5"/>
    <mergeCell ref="M5:M6"/>
    <mergeCell ref="AB5:AB6"/>
    <mergeCell ref="AC5:AC6"/>
    <mergeCell ref="AD5:AD6"/>
    <mergeCell ref="A31:A32"/>
    <mergeCell ref="B31:B32"/>
    <mergeCell ref="C31:C32"/>
    <mergeCell ref="D31:D32"/>
    <mergeCell ref="E31:E32"/>
    <mergeCell ref="F31:F32"/>
    <mergeCell ref="G31:G32"/>
    <mergeCell ref="H31:H32"/>
    <mergeCell ref="I31:I32"/>
    <mergeCell ref="J31:J32"/>
    <mergeCell ref="K31:K32"/>
    <mergeCell ref="L31:L32"/>
    <mergeCell ref="C48:Q48"/>
    <mergeCell ref="S39:AI39"/>
    <mergeCell ref="S40:S41"/>
    <mergeCell ref="T40:T41"/>
    <mergeCell ref="U40:W40"/>
    <mergeCell ref="X40:AA40"/>
    <mergeCell ref="AB40:AB41"/>
    <mergeCell ref="AC40:AC41"/>
    <mergeCell ref="AF40:AH40"/>
    <mergeCell ref="A56:A57"/>
    <mergeCell ref="G56:K56"/>
    <mergeCell ref="G57:K57"/>
    <mergeCell ref="B56:F56"/>
    <mergeCell ref="B57:F57"/>
    <mergeCell ref="AD49:AE49"/>
    <mergeCell ref="AD50:AE50"/>
    <mergeCell ref="A50:Q50"/>
    <mergeCell ref="S42:S50"/>
    <mergeCell ref="A47:Q47"/>
    <mergeCell ref="AD43:AE43"/>
    <mergeCell ref="AD44:AE44"/>
    <mergeCell ref="AD45:AE45"/>
    <mergeCell ref="AD46:AE46"/>
    <mergeCell ref="AD47:AE47"/>
    <mergeCell ref="AD48:AE48"/>
    <mergeCell ref="AF5:AH5"/>
    <mergeCell ref="N5:P5"/>
    <mergeCell ref="AE5:AE6"/>
    <mergeCell ref="M31:M32"/>
    <mergeCell ref="AD40:AE41"/>
    <mergeCell ref="AD42:AE42"/>
    <mergeCell ref="N31:N32"/>
    <mergeCell ref="O31:O32"/>
    <mergeCell ref="P31:P32"/>
    <mergeCell ref="Q31:Q32"/>
  </mergeCells>
  <hyperlinks>
    <hyperlink ref="A1" location="Содержание прайса!A1" display="Вернуться в начало"/>
    <hyperlink ref="A1:C1" location="'Содержание прайса'!A1" display="Вернуться в начало"/>
  </hyperlinks>
  <printOptions horizontalCentered="1"/>
  <pageMargins left="0" right="0" top="0.47244094488188981" bottom="0" header="0" footer="0"/>
  <pageSetup paperSize="9" scale="45"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31</oddFooter>
  </headerFooter>
  <ignoredErrors>
    <ignoredError sqref="U20:Z20 AC20:AD20 AF20:AI20" formula="1"/>
  </ignoredErrors>
  <legacyDrawingHF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82"/>
  <sheetViews>
    <sheetView zoomScale="70" zoomScaleNormal="70" workbookViewId="0">
      <selection sqref="A1:C1"/>
    </sheetView>
  </sheetViews>
  <sheetFormatPr defaultRowHeight="12.75"/>
  <cols>
    <col min="1" max="1" width="44.85546875" style="46" customWidth="1"/>
    <col min="2" max="2" width="7.7109375" style="46" customWidth="1"/>
    <col min="3" max="3" width="10" style="46" customWidth="1"/>
    <col min="4" max="4" width="10.7109375" style="46" customWidth="1"/>
    <col min="5" max="5" width="10" style="46" customWidth="1"/>
    <col min="6" max="6" width="7" style="46" customWidth="1"/>
    <col min="7" max="7" width="9.140625" style="46" customWidth="1"/>
    <col min="8" max="8" width="10" style="46" customWidth="1"/>
    <col min="9" max="10" width="12" style="46" customWidth="1"/>
    <col min="11" max="11" width="9.140625" style="46" customWidth="1"/>
    <col min="12" max="12" width="11" style="46" customWidth="1"/>
    <col min="13" max="13" width="13.7109375" style="46" customWidth="1"/>
    <col min="14" max="14" width="9.140625" style="46" customWidth="1"/>
    <col min="15" max="15" width="13" style="46" customWidth="1"/>
    <col min="16" max="16" width="13.85546875" style="46" customWidth="1"/>
    <col min="17" max="17" width="11.5703125" style="46" customWidth="1"/>
    <col min="18" max="18" width="14" style="46" customWidth="1"/>
    <col min="19" max="19" width="13.5703125" style="46" customWidth="1"/>
    <col min="20" max="24" width="9.140625" style="46" customWidth="1"/>
    <col min="25" max="25" width="11.7109375" style="46" customWidth="1"/>
    <col min="26" max="26" width="9.140625" style="46" customWidth="1"/>
    <col min="27" max="27" width="9.7109375" style="46" customWidth="1"/>
    <col min="28" max="30" width="12.28515625" style="46" customWidth="1"/>
    <col min="31" max="16384" width="9.140625" style="46"/>
  </cols>
  <sheetData>
    <row r="1" spans="1:30">
      <c r="A1" s="1666" t="s">
        <v>312</v>
      </c>
      <c r="B1" s="1666"/>
      <c r="C1" s="1666"/>
      <c r="D1" s="228"/>
    </row>
    <row r="2" spans="1:30" ht="17.25" customHeight="1" thickBot="1">
      <c r="A2" s="1273" t="s">
        <v>219</v>
      </c>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746"/>
      <c r="AA2" s="746"/>
      <c r="AB2" s="760" t="s">
        <v>313</v>
      </c>
      <c r="AC2" s="2021">
        <v>43285</v>
      </c>
      <c r="AD2" s="2021"/>
    </row>
    <row r="3" spans="1:30" ht="15" customHeight="1">
      <c r="A3" s="2"/>
      <c r="G3" s="471"/>
      <c r="H3" s="471"/>
      <c r="I3" s="471"/>
      <c r="J3" s="471"/>
      <c r="K3" s="471"/>
      <c r="L3" s="471"/>
      <c r="M3" s="471"/>
      <c r="N3" s="471"/>
      <c r="O3" s="471"/>
      <c r="V3" s="56"/>
      <c r="W3" s="56"/>
      <c r="X3" s="56"/>
      <c r="Y3" s="56"/>
      <c r="AB3" s="2" t="s">
        <v>315</v>
      </c>
      <c r="AC3" s="1679">
        <v>43283</v>
      </c>
      <c r="AD3" s="1679"/>
    </row>
    <row r="4" spans="1:30" ht="12.75" customHeight="1">
      <c r="A4" s="1535" t="s">
        <v>2586</v>
      </c>
      <c r="B4" s="1733"/>
      <c r="C4" s="1733"/>
      <c r="D4" s="1733"/>
      <c r="E4" s="1733"/>
      <c r="F4" s="1536"/>
      <c r="G4" s="1398" t="s">
        <v>2505</v>
      </c>
      <c r="H4" s="1398"/>
      <c r="I4" s="1398"/>
      <c r="J4" s="1398"/>
      <c r="K4" s="1398"/>
      <c r="L4" s="1398"/>
      <c r="M4" s="1398"/>
      <c r="N4" s="1398"/>
      <c r="O4" s="1398"/>
      <c r="P4" s="1398"/>
      <c r="Q4" s="1398"/>
      <c r="R4" s="1398"/>
      <c r="S4" s="1398"/>
      <c r="T4" s="1398"/>
      <c r="U4" s="1398"/>
      <c r="V4" s="1398"/>
      <c r="W4" s="1398"/>
      <c r="X4" s="1398"/>
      <c r="Y4" s="1398"/>
      <c r="Z4" s="1398"/>
      <c r="AA4" s="1398"/>
      <c r="AB4" s="1398"/>
      <c r="AC4" s="1398"/>
      <c r="AD4" s="1398"/>
    </row>
    <row r="5" spans="1:30" ht="15" customHeight="1">
      <c r="A5" s="1537"/>
      <c r="B5" s="1734"/>
      <c r="C5" s="1734"/>
      <c r="D5" s="1734"/>
      <c r="E5" s="1734"/>
      <c r="F5" s="1538"/>
      <c r="G5" s="1398" t="s">
        <v>2587</v>
      </c>
      <c r="H5" s="1398"/>
      <c r="I5" s="1398"/>
      <c r="J5" s="1398"/>
      <c r="K5" s="1398"/>
      <c r="L5" s="1398"/>
      <c r="M5" s="1398"/>
      <c r="N5" s="1398"/>
      <c r="O5" s="1398"/>
      <c r="P5" s="1398"/>
      <c r="Q5" s="1398"/>
      <c r="R5" s="1398"/>
      <c r="S5" s="1398"/>
      <c r="T5" s="1398" t="s">
        <v>2588</v>
      </c>
      <c r="U5" s="1398"/>
      <c r="V5" s="1398" t="s">
        <v>2589</v>
      </c>
      <c r="W5" s="2443"/>
      <c r="X5" s="2443"/>
      <c r="Y5" s="2443"/>
      <c r="Z5" s="1398" t="s">
        <v>2590</v>
      </c>
      <c r="AA5" s="2443"/>
      <c r="AB5" s="2443"/>
      <c r="AC5" s="2443"/>
      <c r="AD5" s="2443"/>
    </row>
    <row r="6" spans="1:30" ht="12.75" customHeight="1">
      <c r="A6" s="1568"/>
      <c r="B6" s="1735"/>
      <c r="C6" s="1735"/>
      <c r="D6" s="1735"/>
      <c r="E6" s="1735"/>
      <c r="F6" s="1569"/>
      <c r="G6" s="1398" t="s">
        <v>2591</v>
      </c>
      <c r="H6" s="1398"/>
      <c r="I6" s="1398"/>
      <c r="J6" s="1398"/>
      <c r="K6" s="1398"/>
      <c r="L6" s="1398"/>
      <c r="M6" s="1398"/>
      <c r="N6" s="1398"/>
      <c r="O6" s="1398"/>
      <c r="P6" s="1398" t="s">
        <v>2592</v>
      </c>
      <c r="Q6" s="1398"/>
      <c r="R6" s="1398"/>
      <c r="S6" s="2033" t="s">
        <v>568</v>
      </c>
      <c r="T6" s="1398"/>
      <c r="U6" s="1398"/>
      <c r="V6" s="2443"/>
      <c r="W6" s="2443"/>
      <c r="X6" s="2443"/>
      <c r="Y6" s="2443"/>
      <c r="Z6" s="2443"/>
      <c r="AA6" s="2443"/>
      <c r="AB6" s="2443"/>
      <c r="AC6" s="2443"/>
      <c r="AD6" s="2443"/>
    </row>
    <row r="7" spans="1:30" ht="43.5" customHeight="1">
      <c r="A7" s="126" t="s">
        <v>307</v>
      </c>
      <c r="B7" s="126" t="s">
        <v>318</v>
      </c>
      <c r="C7" s="126" t="s">
        <v>2593</v>
      </c>
      <c r="D7" s="126" t="s">
        <v>2594</v>
      </c>
      <c r="E7" s="126" t="s">
        <v>2595</v>
      </c>
      <c r="F7" s="126" t="s">
        <v>4233</v>
      </c>
      <c r="G7" s="126" t="s">
        <v>566</v>
      </c>
      <c r="H7" s="126" t="s">
        <v>2596</v>
      </c>
      <c r="I7" s="126" t="s">
        <v>2597</v>
      </c>
      <c r="J7" s="126" t="s">
        <v>2598</v>
      </c>
      <c r="K7" s="126" t="s">
        <v>2599</v>
      </c>
      <c r="L7" s="126" t="s">
        <v>2600</v>
      </c>
      <c r="M7" s="126" t="s">
        <v>2601</v>
      </c>
      <c r="N7" s="126" t="s">
        <v>1393</v>
      </c>
      <c r="O7" s="126" t="s">
        <v>2602</v>
      </c>
      <c r="P7" s="126" t="s">
        <v>2603</v>
      </c>
      <c r="Q7" s="126" t="s">
        <v>2604</v>
      </c>
      <c r="R7" s="126" t="s">
        <v>2605</v>
      </c>
      <c r="S7" s="2034"/>
      <c r="T7" s="126" t="s">
        <v>2606</v>
      </c>
      <c r="U7" s="126" t="s">
        <v>2607</v>
      </c>
      <c r="V7" s="126" t="s">
        <v>2608</v>
      </c>
      <c r="W7" s="126" t="s">
        <v>2609</v>
      </c>
      <c r="X7" s="126" t="s">
        <v>2610</v>
      </c>
      <c r="Y7" s="126" t="s">
        <v>2611</v>
      </c>
      <c r="Z7" s="126" t="s">
        <v>566</v>
      </c>
      <c r="AA7" s="126" t="s">
        <v>2596</v>
      </c>
      <c r="AB7" s="126" t="s">
        <v>2597</v>
      </c>
      <c r="AC7" s="126" t="s">
        <v>2598</v>
      </c>
      <c r="AD7" s="126" t="s">
        <v>2602</v>
      </c>
    </row>
    <row r="8" spans="1:30" ht="15">
      <c r="A8" s="2439" t="s">
        <v>2612</v>
      </c>
      <c r="B8" s="2439"/>
      <c r="C8" s="2439"/>
      <c r="D8" s="2439"/>
      <c r="E8" s="2439"/>
      <c r="F8" s="2439"/>
      <c r="G8" s="2439"/>
      <c r="H8" s="2439"/>
      <c r="I8" s="2439"/>
      <c r="J8" s="2439"/>
      <c r="K8" s="2439"/>
      <c r="L8" s="2439"/>
      <c r="M8" s="2439"/>
      <c r="N8" s="2439"/>
      <c r="O8" s="2439"/>
      <c r="P8" s="2439"/>
      <c r="Q8" s="2439"/>
      <c r="R8" s="2439"/>
      <c r="S8" s="2439"/>
      <c r="T8" s="2439"/>
      <c r="U8" s="2439"/>
      <c r="V8" s="2439"/>
      <c r="W8" s="2439"/>
      <c r="X8" s="2439"/>
      <c r="Y8" s="2439"/>
      <c r="Z8" s="2439"/>
      <c r="AA8" s="2439"/>
      <c r="AB8" s="2439"/>
      <c r="AC8" s="2439"/>
      <c r="AD8" s="2439"/>
    </row>
    <row r="9" spans="1:30" ht="18.75" customHeight="1">
      <c r="A9" s="2444" t="s">
        <v>2613</v>
      </c>
      <c r="B9" s="2445">
        <v>3.6</v>
      </c>
      <c r="C9" s="2446">
        <v>0.224</v>
      </c>
      <c r="D9" s="2447">
        <v>0.80640000000000001</v>
      </c>
      <c r="E9" s="2448">
        <v>22</v>
      </c>
      <c r="F9" s="99" t="s">
        <v>845</v>
      </c>
      <c r="G9" s="473">
        <f>ROUND(167*Belarus*(1-C71),2)</f>
        <v>167</v>
      </c>
      <c r="H9" s="473">
        <f>ROUND(167*Belarus*(1-C71),2)</f>
        <v>167</v>
      </c>
      <c r="I9" s="473">
        <f>ROUND(167*Belarus*(1-C71),2)</f>
        <v>167</v>
      </c>
      <c r="J9" s="473">
        <f>ROUND(167*Belarus*(1-C71),2)</f>
        <v>167</v>
      </c>
      <c r="K9" s="473">
        <f>ROUND(167*Belarus*(1-C71),2)</f>
        <v>167</v>
      </c>
      <c r="L9" s="473">
        <f>ROUND(167*Belarus*(1-C71),2)</f>
        <v>167</v>
      </c>
      <c r="M9" s="473">
        <f>ROUND(167*Belarus*(1-C71),2)</f>
        <v>167</v>
      </c>
      <c r="N9" s="473">
        <f>ROUND(167*Belarus*(1-C71),2)</f>
        <v>167</v>
      </c>
      <c r="O9" s="473">
        <f>ROUND(167*Belarus*(1-C71),2)</f>
        <v>167</v>
      </c>
      <c r="P9" s="473">
        <f>ROUND(200*Belarus*(1-C71),2)</f>
        <v>200</v>
      </c>
      <c r="Q9" s="473">
        <f>ROUND(200*Belarus*(1-C71),2)</f>
        <v>200</v>
      </c>
      <c r="R9" s="473">
        <f>ROUND(167*Belarus*(1-C71),2)</f>
        <v>167</v>
      </c>
      <c r="S9" s="473" t="s">
        <v>369</v>
      </c>
      <c r="T9" s="474">
        <f>ROUND(223*Belarus*(1-D71),2)</f>
        <v>223</v>
      </c>
      <c r="U9" s="474">
        <f>ROUND(180*Belarus*(1-D71),2)</f>
        <v>180</v>
      </c>
      <c r="V9" s="473">
        <f>ROUND(263*Belarus*(1-E71),2)</f>
        <v>263</v>
      </c>
      <c r="W9" s="473">
        <f>ROUND(263*Belarus*(1-E71),2)</f>
        <v>263</v>
      </c>
      <c r="X9" s="473">
        <f>ROUND(263*Belarus*(1-E71),2)</f>
        <v>263</v>
      </c>
      <c r="Y9" s="473">
        <f>ROUND(219*Belarus*(1-E71),2)</f>
        <v>219</v>
      </c>
      <c r="Z9" s="474" t="s">
        <v>369</v>
      </c>
      <c r="AA9" s="474" t="s">
        <v>369</v>
      </c>
      <c r="AB9" s="474" t="s">
        <v>369</v>
      </c>
      <c r="AC9" s="474" t="s">
        <v>369</v>
      </c>
      <c r="AD9" s="474" t="s">
        <v>369</v>
      </c>
    </row>
    <row r="10" spans="1:30" ht="18.75" customHeight="1">
      <c r="A10" s="2444"/>
      <c r="B10" s="2445"/>
      <c r="C10" s="2446"/>
      <c r="D10" s="2447"/>
      <c r="E10" s="2448"/>
      <c r="F10" s="79" t="s">
        <v>2614</v>
      </c>
      <c r="G10" s="475">
        <f>G9/0.8064</f>
        <v>207.09325396825398</v>
      </c>
      <c r="H10" s="475">
        <f t="shared" ref="H10:N10" si="0">H9/0.8064</f>
        <v>207.09325396825398</v>
      </c>
      <c r="I10" s="475">
        <f t="shared" si="0"/>
        <v>207.09325396825398</v>
      </c>
      <c r="J10" s="475">
        <f t="shared" si="0"/>
        <v>207.09325396825398</v>
      </c>
      <c r="K10" s="475">
        <f t="shared" si="0"/>
        <v>207.09325396825398</v>
      </c>
      <c r="L10" s="475">
        <f t="shared" si="0"/>
        <v>207.09325396825398</v>
      </c>
      <c r="M10" s="475">
        <f t="shared" si="0"/>
        <v>207.09325396825398</v>
      </c>
      <c r="N10" s="475">
        <f t="shared" si="0"/>
        <v>207.09325396825398</v>
      </c>
      <c r="O10" s="475">
        <f>O9/0.8064</f>
        <v>207.09325396825398</v>
      </c>
      <c r="P10" s="475">
        <f>P9/0.8064</f>
        <v>248.01587301587301</v>
      </c>
      <c r="Q10" s="475">
        <f>Q9/0.8064</f>
        <v>248.01587301587301</v>
      </c>
      <c r="R10" s="475">
        <f>R9/0.8064</f>
        <v>207.09325396825398</v>
      </c>
      <c r="S10" s="475" t="s">
        <v>369</v>
      </c>
      <c r="T10" s="476">
        <f t="shared" ref="T10:Y10" si="1">T9/0.8064</f>
        <v>276.53769841269843</v>
      </c>
      <c r="U10" s="476">
        <f t="shared" si="1"/>
        <v>223.21428571428572</v>
      </c>
      <c r="V10" s="475">
        <f t="shared" si="1"/>
        <v>326.14087301587301</v>
      </c>
      <c r="W10" s="475">
        <f t="shared" si="1"/>
        <v>326.14087301587301</v>
      </c>
      <c r="X10" s="475">
        <f t="shared" si="1"/>
        <v>326.14087301587301</v>
      </c>
      <c r="Y10" s="475">
        <f t="shared" si="1"/>
        <v>271.57738095238096</v>
      </c>
      <c r="Z10" s="476" t="s">
        <v>369</v>
      </c>
      <c r="AA10" s="476" t="s">
        <v>369</v>
      </c>
      <c r="AB10" s="476" t="s">
        <v>369</v>
      </c>
      <c r="AC10" s="476" t="s">
        <v>369</v>
      </c>
      <c r="AD10" s="476" t="s">
        <v>369</v>
      </c>
    </row>
    <row r="11" spans="1:30" ht="18.75" customHeight="1">
      <c r="A11" s="2444" t="s">
        <v>2615</v>
      </c>
      <c r="B11" s="2445">
        <v>3</v>
      </c>
      <c r="C11" s="2446">
        <v>0.20300000000000001</v>
      </c>
      <c r="D11" s="2447">
        <v>0.60899999999999999</v>
      </c>
      <c r="E11" s="2448">
        <v>22</v>
      </c>
      <c r="F11" s="99" t="s">
        <v>845</v>
      </c>
      <c r="G11" s="473">
        <f>ROUND(117*Belarus*(1-C72),2)</f>
        <v>117</v>
      </c>
      <c r="H11" s="473">
        <f>ROUND(117*Belarus*(1-C72),2)</f>
        <v>117</v>
      </c>
      <c r="I11" s="473">
        <f>ROUND(117*Belarus*(1-C72),2)</f>
        <v>117</v>
      </c>
      <c r="J11" s="473">
        <f>ROUND(117*Belarus*(1-C72),2)</f>
        <v>117</v>
      </c>
      <c r="K11" s="473">
        <f>ROUND(117*Belarus*(1-C72),2)</f>
        <v>117</v>
      </c>
      <c r="L11" s="473">
        <f>ROUND(117*Belarus*(1-C72),2)</f>
        <v>117</v>
      </c>
      <c r="M11" s="473">
        <f>ROUND(117*Belarus*(1-C72),2)</f>
        <v>117</v>
      </c>
      <c r="N11" s="473">
        <f>ROUND(117*Belarus*(1-C72),2)</f>
        <v>117</v>
      </c>
      <c r="O11" s="473">
        <f>ROUND(117*Belarus*(1-C72),2)</f>
        <v>117</v>
      </c>
      <c r="P11" s="473">
        <f>ROUND(140*Belarus*(1-C72),2)</f>
        <v>140</v>
      </c>
      <c r="Q11" s="473">
        <f>ROUND(140*Belarus*(1-C72),2)</f>
        <v>140</v>
      </c>
      <c r="R11" s="473">
        <f>ROUND(117*Belarus*(1-C72),2)</f>
        <v>117</v>
      </c>
      <c r="S11" s="473" t="s">
        <v>369</v>
      </c>
      <c r="T11" s="474">
        <f>ROUND(170*Belarus*(1-D72),2)</f>
        <v>170</v>
      </c>
      <c r="U11" s="474">
        <f>ROUND(137*Belarus*(1-D72),2)</f>
        <v>137</v>
      </c>
      <c r="V11" s="473">
        <f>ROUND(201*Belarus*(1-E72),2)</f>
        <v>201</v>
      </c>
      <c r="W11" s="473">
        <f>ROUND(201*Belarus*(1-E72),2)</f>
        <v>201</v>
      </c>
      <c r="X11" s="473">
        <f>ROUND(201*Belarus*(1-E72),2)</f>
        <v>201</v>
      </c>
      <c r="Y11" s="473">
        <f>ROUND(168*Belarus*(1-E72),2)</f>
        <v>168</v>
      </c>
      <c r="Z11" s="474" t="s">
        <v>369</v>
      </c>
      <c r="AA11" s="474" t="s">
        <v>369</v>
      </c>
      <c r="AB11" s="474" t="s">
        <v>369</v>
      </c>
      <c r="AC11" s="474" t="s">
        <v>369</v>
      </c>
      <c r="AD11" s="474" t="s">
        <v>369</v>
      </c>
    </row>
    <row r="12" spans="1:30" ht="18.75" customHeight="1">
      <c r="A12" s="2444"/>
      <c r="B12" s="2449"/>
      <c r="C12" s="2446"/>
      <c r="D12" s="2447"/>
      <c r="E12" s="2448"/>
      <c r="F12" s="79" t="s">
        <v>2614</v>
      </c>
      <c r="G12" s="475">
        <f>G11/0.609</f>
        <v>192.11822660098522</v>
      </c>
      <c r="H12" s="475">
        <f t="shared" ref="H12:Q12" si="2">H11/0.609</f>
        <v>192.11822660098522</v>
      </c>
      <c r="I12" s="475">
        <f>I11/0.609</f>
        <v>192.11822660098522</v>
      </c>
      <c r="J12" s="475">
        <f t="shared" si="2"/>
        <v>192.11822660098522</v>
      </c>
      <c r="K12" s="475">
        <f t="shared" si="2"/>
        <v>192.11822660098522</v>
      </c>
      <c r="L12" s="475">
        <f t="shared" si="2"/>
        <v>192.11822660098522</v>
      </c>
      <c r="M12" s="475">
        <f t="shared" si="2"/>
        <v>192.11822660098522</v>
      </c>
      <c r="N12" s="475">
        <f t="shared" si="2"/>
        <v>192.11822660098522</v>
      </c>
      <c r="O12" s="475">
        <f t="shared" si="2"/>
        <v>192.11822660098522</v>
      </c>
      <c r="P12" s="475">
        <f t="shared" si="2"/>
        <v>229.88505747126436</v>
      </c>
      <c r="Q12" s="475">
        <f t="shared" si="2"/>
        <v>229.88505747126436</v>
      </c>
      <c r="R12" s="475">
        <f>R11/0.609</f>
        <v>192.11822660098522</v>
      </c>
      <c r="S12" s="475" t="s">
        <v>369</v>
      </c>
      <c r="T12" s="476">
        <f t="shared" ref="T12:Y12" si="3">T11/0.609</f>
        <v>279.14614121510675</v>
      </c>
      <c r="U12" s="476">
        <f t="shared" si="3"/>
        <v>224.95894909688013</v>
      </c>
      <c r="V12" s="475">
        <f t="shared" si="3"/>
        <v>330.04926108374383</v>
      </c>
      <c r="W12" s="475">
        <f t="shared" si="3"/>
        <v>330.04926108374383</v>
      </c>
      <c r="X12" s="475">
        <f t="shared" si="3"/>
        <v>330.04926108374383</v>
      </c>
      <c r="Y12" s="475">
        <f t="shared" si="3"/>
        <v>275.86206896551727</v>
      </c>
      <c r="Z12" s="476" t="s">
        <v>369</v>
      </c>
      <c r="AA12" s="476" t="s">
        <v>369</v>
      </c>
      <c r="AB12" s="476" t="s">
        <v>369</v>
      </c>
      <c r="AC12" s="476" t="s">
        <v>369</v>
      </c>
      <c r="AD12" s="476" t="s">
        <v>369</v>
      </c>
    </row>
    <row r="13" spans="1:30" ht="18.75" customHeight="1">
      <c r="A13" s="2444" t="s">
        <v>2616</v>
      </c>
      <c r="B13" s="2445">
        <v>1.5</v>
      </c>
      <c r="C13" s="2446">
        <v>0.20300000000000001</v>
      </c>
      <c r="D13" s="2447">
        <v>0.3</v>
      </c>
      <c r="E13" s="2448">
        <v>22</v>
      </c>
      <c r="F13" s="99" t="s">
        <v>845</v>
      </c>
      <c r="G13" s="473" t="s">
        <v>369</v>
      </c>
      <c r="H13" s="473" t="s">
        <v>369</v>
      </c>
      <c r="I13" s="473">
        <f>ROUND(79*Belarus*(1-C72),2)</f>
        <v>79</v>
      </c>
      <c r="J13" s="473" t="s">
        <v>369</v>
      </c>
      <c r="K13" s="473" t="s">
        <v>369</v>
      </c>
      <c r="L13" s="473" t="s">
        <v>369</v>
      </c>
      <c r="M13" s="473" t="s">
        <v>369</v>
      </c>
      <c r="N13" s="473" t="s">
        <v>369</v>
      </c>
      <c r="O13" s="473" t="s">
        <v>369</v>
      </c>
      <c r="P13" s="473" t="s">
        <v>369</v>
      </c>
      <c r="Q13" s="473" t="s">
        <v>369</v>
      </c>
      <c r="R13" s="473" t="s">
        <v>369</v>
      </c>
      <c r="S13" s="473" t="s">
        <v>369</v>
      </c>
      <c r="T13" s="474" t="s">
        <v>369</v>
      </c>
      <c r="U13" s="474" t="s">
        <v>369</v>
      </c>
      <c r="V13" s="473" t="s">
        <v>369</v>
      </c>
      <c r="W13" s="473" t="s">
        <v>369</v>
      </c>
      <c r="X13" s="473" t="s">
        <v>369</v>
      </c>
      <c r="Y13" s="473" t="s">
        <v>369</v>
      </c>
      <c r="Z13" s="474" t="s">
        <v>369</v>
      </c>
      <c r="AA13" s="474" t="s">
        <v>369</v>
      </c>
      <c r="AB13" s="474" t="s">
        <v>369</v>
      </c>
      <c r="AC13" s="474" t="s">
        <v>369</v>
      </c>
      <c r="AD13" s="474" t="s">
        <v>369</v>
      </c>
    </row>
    <row r="14" spans="1:30" ht="18.75" customHeight="1">
      <c r="A14" s="2444"/>
      <c r="B14" s="2449"/>
      <c r="C14" s="2446"/>
      <c r="D14" s="2447"/>
      <c r="E14" s="2448"/>
      <c r="F14" s="79" t="s">
        <v>2614</v>
      </c>
      <c r="G14" s="475" t="s">
        <v>369</v>
      </c>
      <c r="H14" s="475" t="s">
        <v>369</v>
      </c>
      <c r="I14" s="475">
        <f>I13/0.3</f>
        <v>263.33333333333337</v>
      </c>
      <c r="J14" s="475" t="s">
        <v>369</v>
      </c>
      <c r="K14" s="475" t="s">
        <v>369</v>
      </c>
      <c r="L14" s="475" t="s">
        <v>369</v>
      </c>
      <c r="M14" s="475" t="s">
        <v>369</v>
      </c>
      <c r="N14" s="475" t="s">
        <v>369</v>
      </c>
      <c r="O14" s="475" t="s">
        <v>369</v>
      </c>
      <c r="P14" s="475" t="s">
        <v>369</v>
      </c>
      <c r="Q14" s="475" t="s">
        <v>369</v>
      </c>
      <c r="R14" s="475" t="s">
        <v>369</v>
      </c>
      <c r="S14" s="475" t="s">
        <v>369</v>
      </c>
      <c r="T14" s="476" t="s">
        <v>369</v>
      </c>
      <c r="U14" s="476" t="s">
        <v>369</v>
      </c>
      <c r="V14" s="475" t="s">
        <v>369</v>
      </c>
      <c r="W14" s="475" t="s">
        <v>369</v>
      </c>
      <c r="X14" s="475" t="s">
        <v>369</v>
      </c>
      <c r="Y14" s="475" t="s">
        <v>369</v>
      </c>
      <c r="Z14" s="476" t="s">
        <v>369</v>
      </c>
      <c r="AA14" s="476" t="s">
        <v>369</v>
      </c>
      <c r="AB14" s="476" t="s">
        <v>369</v>
      </c>
      <c r="AC14" s="476" t="s">
        <v>369</v>
      </c>
      <c r="AD14" s="476" t="s">
        <v>369</v>
      </c>
    </row>
    <row r="15" spans="1:30" ht="18.75" customHeight="1">
      <c r="A15" s="2444" t="s">
        <v>2617</v>
      </c>
      <c r="B15" s="2445">
        <v>3</v>
      </c>
      <c r="C15" s="2446">
        <v>0.186</v>
      </c>
      <c r="D15" s="2447">
        <v>0.56000000000000005</v>
      </c>
      <c r="E15" s="2448">
        <v>22</v>
      </c>
      <c r="F15" s="99" t="s">
        <v>845</v>
      </c>
      <c r="G15" s="473" t="s">
        <v>369</v>
      </c>
      <c r="H15" s="473" t="s">
        <v>369</v>
      </c>
      <c r="I15" s="473" t="s">
        <v>369</v>
      </c>
      <c r="J15" s="473" t="s">
        <v>369</v>
      </c>
      <c r="K15" s="473" t="s">
        <v>369</v>
      </c>
      <c r="L15" s="473" t="s">
        <v>369</v>
      </c>
      <c r="M15" s="473" t="s">
        <v>369</v>
      </c>
      <c r="N15" s="473" t="s">
        <v>369</v>
      </c>
      <c r="O15" s="473" t="s">
        <v>369</v>
      </c>
      <c r="P15" s="473" t="s">
        <v>369</v>
      </c>
      <c r="Q15" s="473" t="s">
        <v>369</v>
      </c>
      <c r="R15" s="473" t="s">
        <v>369</v>
      </c>
      <c r="S15" s="473" t="s">
        <v>369</v>
      </c>
      <c r="T15" s="474" t="s">
        <v>369</v>
      </c>
      <c r="U15" s="474" t="s">
        <v>369</v>
      </c>
      <c r="V15" s="473" t="s">
        <v>369</v>
      </c>
      <c r="W15" s="473" t="s">
        <v>369</v>
      </c>
      <c r="X15" s="473" t="s">
        <v>369</v>
      </c>
      <c r="Y15" s="473" t="s">
        <v>369</v>
      </c>
      <c r="Z15" s="474">
        <f>ROUND(99*Belarus*(1-F73),2)</f>
        <v>99</v>
      </c>
      <c r="AA15" s="474">
        <f>ROUND(99*Belarus*(1-F73),2)</f>
        <v>99</v>
      </c>
      <c r="AB15" s="474">
        <f>ROUND(99*Belarus*(1-F73),2)</f>
        <v>99</v>
      </c>
      <c r="AC15" s="474">
        <f>ROUND(99*Belarus*(1-F73),2)</f>
        <v>99</v>
      </c>
      <c r="AD15" s="474">
        <f>ROUND(99*Belarus*(1-F73),2)</f>
        <v>99</v>
      </c>
    </row>
    <row r="16" spans="1:30" ht="18.75" customHeight="1">
      <c r="A16" s="2444"/>
      <c r="B16" s="2449"/>
      <c r="C16" s="2446"/>
      <c r="D16" s="2447"/>
      <c r="E16" s="2448"/>
      <c r="F16" s="79" t="s">
        <v>2614</v>
      </c>
      <c r="G16" s="475" t="s">
        <v>369</v>
      </c>
      <c r="H16" s="475" t="s">
        <v>369</v>
      </c>
      <c r="I16" s="475" t="s">
        <v>369</v>
      </c>
      <c r="J16" s="475" t="s">
        <v>369</v>
      </c>
      <c r="K16" s="475" t="s">
        <v>369</v>
      </c>
      <c r="L16" s="475" t="s">
        <v>369</v>
      </c>
      <c r="M16" s="475" t="s">
        <v>369</v>
      </c>
      <c r="N16" s="475" t="s">
        <v>369</v>
      </c>
      <c r="O16" s="475" t="s">
        <v>369</v>
      </c>
      <c r="P16" s="475" t="s">
        <v>369</v>
      </c>
      <c r="Q16" s="475" t="s">
        <v>369</v>
      </c>
      <c r="R16" s="475" t="s">
        <v>369</v>
      </c>
      <c r="S16" s="475" t="s">
        <v>369</v>
      </c>
      <c r="T16" s="476" t="s">
        <v>369</v>
      </c>
      <c r="U16" s="476" t="s">
        <v>369</v>
      </c>
      <c r="V16" s="475" t="s">
        <v>369</v>
      </c>
      <c r="W16" s="475" t="s">
        <v>369</v>
      </c>
      <c r="X16" s="475" t="s">
        <v>369</v>
      </c>
      <c r="Y16" s="475" t="s">
        <v>369</v>
      </c>
      <c r="Z16" s="476">
        <f>Z15/0.56</f>
        <v>176.78571428571428</v>
      </c>
      <c r="AA16" s="476">
        <f>AA15/0.56</f>
        <v>176.78571428571428</v>
      </c>
      <c r="AB16" s="476">
        <f>AB15/0.56</f>
        <v>176.78571428571428</v>
      </c>
      <c r="AC16" s="476">
        <f>AC15/0.56</f>
        <v>176.78571428571428</v>
      </c>
      <c r="AD16" s="476">
        <f>AD15/0.56</f>
        <v>176.78571428571428</v>
      </c>
    </row>
    <row r="17" spans="1:30" ht="18.75" customHeight="1">
      <c r="A17" s="2444" t="s">
        <v>2618</v>
      </c>
      <c r="B17" s="2445">
        <v>3</v>
      </c>
      <c r="C17" s="2446">
        <v>0.24399999999999999</v>
      </c>
      <c r="D17" s="2447">
        <v>0.73199999999999998</v>
      </c>
      <c r="E17" s="2448">
        <v>22</v>
      </c>
      <c r="F17" s="99" t="s">
        <v>845</v>
      </c>
      <c r="G17" s="473" t="s">
        <v>369</v>
      </c>
      <c r="H17" s="473">
        <f>ROUND(200*Belarus*(1-C74),2)</f>
        <v>200</v>
      </c>
      <c r="I17" s="473">
        <f>ROUND(200*Belarus*(1-C74),2)</f>
        <v>200</v>
      </c>
      <c r="J17" s="473" t="s">
        <v>369</v>
      </c>
      <c r="K17" s="473" t="s">
        <v>369</v>
      </c>
      <c r="L17" s="473" t="s">
        <v>369</v>
      </c>
      <c r="M17" s="473" t="s">
        <v>369</v>
      </c>
      <c r="N17" s="473" t="s">
        <v>369</v>
      </c>
      <c r="O17" s="473">
        <f>ROUND(200*Belarus*(1-C74),2)</f>
        <v>200</v>
      </c>
      <c r="P17" s="473">
        <f>ROUND(239*Belarus*(1-C74),2)</f>
        <v>239</v>
      </c>
      <c r="Q17" s="473">
        <f>ROUND(239*Belarus*(1-C74),2)</f>
        <v>239</v>
      </c>
      <c r="R17" s="473" t="s">
        <v>369</v>
      </c>
      <c r="S17" s="473" t="s">
        <v>369</v>
      </c>
      <c r="T17" s="474">
        <f>ROUND(220*Belarus*(1-D74),2)</f>
        <v>220</v>
      </c>
      <c r="U17" s="474">
        <f>ROUND(190*Belarus*(1-D74),2)</f>
        <v>190</v>
      </c>
      <c r="V17" s="473">
        <f>ROUND(259*Belarus*(1-E74),2)</f>
        <v>259</v>
      </c>
      <c r="W17" s="473">
        <f>ROUND(259*Belarus*(1-E74),2)</f>
        <v>259</v>
      </c>
      <c r="X17" s="473">
        <f>ROUND(259*Belarus*(1-E74),2)</f>
        <v>259</v>
      </c>
      <c r="Y17" s="473">
        <f>ROUND(243*Belarus*(1-E74),2)</f>
        <v>243</v>
      </c>
      <c r="Z17" s="474" t="s">
        <v>369</v>
      </c>
      <c r="AA17" s="474" t="s">
        <v>369</v>
      </c>
      <c r="AB17" s="474" t="s">
        <v>369</v>
      </c>
      <c r="AC17" s="474" t="s">
        <v>369</v>
      </c>
      <c r="AD17" s="474" t="s">
        <v>369</v>
      </c>
    </row>
    <row r="18" spans="1:30" ht="18.75" customHeight="1">
      <c r="A18" s="2444"/>
      <c r="B18" s="2449"/>
      <c r="C18" s="2446"/>
      <c r="D18" s="2447"/>
      <c r="E18" s="2448"/>
      <c r="F18" s="79" t="s">
        <v>2614</v>
      </c>
      <c r="G18" s="475" t="s">
        <v>369</v>
      </c>
      <c r="H18" s="475">
        <f>H17/0.732</f>
        <v>273.22404371584702</v>
      </c>
      <c r="I18" s="475">
        <f>I17/0.732</f>
        <v>273.22404371584702</v>
      </c>
      <c r="J18" s="475" t="s">
        <v>369</v>
      </c>
      <c r="K18" s="475" t="s">
        <v>369</v>
      </c>
      <c r="L18" s="475" t="s">
        <v>369</v>
      </c>
      <c r="M18" s="475" t="s">
        <v>369</v>
      </c>
      <c r="N18" s="475" t="s">
        <v>369</v>
      </c>
      <c r="O18" s="475">
        <f>O17/0.732</f>
        <v>273.22404371584702</v>
      </c>
      <c r="P18" s="475">
        <f>P17/0.732</f>
        <v>326.50273224043718</v>
      </c>
      <c r="Q18" s="475">
        <f>Q17/0.732</f>
        <v>326.50273224043718</v>
      </c>
      <c r="R18" s="475" t="s">
        <v>369</v>
      </c>
      <c r="S18" s="475" t="s">
        <v>369</v>
      </c>
      <c r="T18" s="476">
        <f t="shared" ref="T18:Y18" si="4">T17/0.732</f>
        <v>300.54644808743171</v>
      </c>
      <c r="U18" s="476">
        <f t="shared" si="4"/>
        <v>259.56284153005464</v>
      </c>
      <c r="V18" s="475">
        <f t="shared" si="4"/>
        <v>353.82513661202188</v>
      </c>
      <c r="W18" s="475">
        <f t="shared" si="4"/>
        <v>353.82513661202188</v>
      </c>
      <c r="X18" s="475">
        <f t="shared" si="4"/>
        <v>353.82513661202188</v>
      </c>
      <c r="Y18" s="475">
        <f t="shared" si="4"/>
        <v>331.96721311475409</v>
      </c>
      <c r="Z18" s="476" t="s">
        <v>369</v>
      </c>
      <c r="AA18" s="476" t="s">
        <v>369</v>
      </c>
      <c r="AB18" s="476" t="s">
        <v>369</v>
      </c>
      <c r="AC18" s="476" t="s">
        <v>369</v>
      </c>
      <c r="AD18" s="476" t="s">
        <v>369</v>
      </c>
    </row>
    <row r="19" spans="1:30" ht="18.75" customHeight="1">
      <c r="A19" s="2444" t="s">
        <v>2619</v>
      </c>
      <c r="B19" s="2445">
        <v>3</v>
      </c>
      <c r="C19" s="2446">
        <v>0.16</v>
      </c>
      <c r="D19" s="2447">
        <v>0.48</v>
      </c>
      <c r="E19" s="2448">
        <v>22</v>
      </c>
      <c r="F19" s="99" t="s">
        <v>845</v>
      </c>
      <c r="G19" s="473">
        <f>ROUND(99*Belarus*(1-C75),2)</f>
        <v>99</v>
      </c>
      <c r="H19" s="473">
        <f>ROUND(99*Belarus*(1-C75),2)</f>
        <v>99</v>
      </c>
      <c r="I19" s="473">
        <f>ROUND(99*Belarus*(1-C75),2)</f>
        <v>99</v>
      </c>
      <c r="J19" s="473">
        <f>ROUND(99*Belarus*(1-C75),2)</f>
        <v>99</v>
      </c>
      <c r="K19" s="473" t="s">
        <v>369</v>
      </c>
      <c r="L19" s="473" t="s">
        <v>369</v>
      </c>
      <c r="M19" s="473" t="s">
        <v>369</v>
      </c>
      <c r="N19" s="473" t="s">
        <v>369</v>
      </c>
      <c r="O19" s="473" t="s">
        <v>369</v>
      </c>
      <c r="P19" s="473" t="s">
        <v>369</v>
      </c>
      <c r="Q19" s="473" t="s">
        <v>369</v>
      </c>
      <c r="R19" s="473" t="s">
        <v>369</v>
      </c>
      <c r="S19" s="473" t="s">
        <v>369</v>
      </c>
      <c r="T19" s="474" t="s">
        <v>369</v>
      </c>
      <c r="U19" s="474" t="s">
        <v>369</v>
      </c>
      <c r="V19" s="473" t="s">
        <v>369</v>
      </c>
      <c r="W19" s="473" t="s">
        <v>369</v>
      </c>
      <c r="X19" s="473" t="s">
        <v>369</v>
      </c>
      <c r="Y19" s="473" t="s">
        <v>369</v>
      </c>
      <c r="Z19" s="474" t="s">
        <v>369</v>
      </c>
      <c r="AA19" s="474" t="s">
        <v>369</v>
      </c>
      <c r="AB19" s="474" t="s">
        <v>369</v>
      </c>
      <c r="AC19" s="474" t="s">
        <v>369</v>
      </c>
      <c r="AD19" s="474" t="s">
        <v>369</v>
      </c>
    </row>
    <row r="20" spans="1:30" ht="18.75" customHeight="1">
      <c r="A20" s="2444"/>
      <c r="B20" s="2445"/>
      <c r="C20" s="2446"/>
      <c r="D20" s="2447"/>
      <c r="E20" s="2448"/>
      <c r="F20" s="79" t="s">
        <v>2614</v>
      </c>
      <c r="G20" s="475">
        <f>G19/0.48</f>
        <v>206.25</v>
      </c>
      <c r="H20" s="475">
        <f>H19/0.48</f>
        <v>206.25</v>
      </c>
      <c r="I20" s="475">
        <f>I19/0.48</f>
        <v>206.25</v>
      </c>
      <c r="J20" s="475">
        <f>J19/0.48</f>
        <v>206.25</v>
      </c>
      <c r="K20" s="475" t="s">
        <v>369</v>
      </c>
      <c r="L20" s="475" t="s">
        <v>369</v>
      </c>
      <c r="M20" s="475" t="s">
        <v>369</v>
      </c>
      <c r="N20" s="475" t="s">
        <v>369</v>
      </c>
      <c r="O20" s="475" t="s">
        <v>369</v>
      </c>
      <c r="P20" s="475" t="s">
        <v>369</v>
      </c>
      <c r="Q20" s="475" t="s">
        <v>369</v>
      </c>
      <c r="R20" s="475" t="s">
        <v>369</v>
      </c>
      <c r="S20" s="475" t="s">
        <v>369</v>
      </c>
      <c r="T20" s="476" t="s">
        <v>369</v>
      </c>
      <c r="U20" s="476" t="s">
        <v>369</v>
      </c>
      <c r="V20" s="475" t="s">
        <v>369</v>
      </c>
      <c r="W20" s="475" t="s">
        <v>369</v>
      </c>
      <c r="X20" s="475" t="s">
        <v>369</v>
      </c>
      <c r="Y20" s="475" t="s">
        <v>369</v>
      </c>
      <c r="Z20" s="476" t="s">
        <v>369</v>
      </c>
      <c r="AA20" s="476" t="s">
        <v>369</v>
      </c>
      <c r="AB20" s="476" t="s">
        <v>369</v>
      </c>
      <c r="AC20" s="476" t="s">
        <v>369</v>
      </c>
      <c r="AD20" s="476" t="s">
        <v>369</v>
      </c>
    </row>
    <row r="21" spans="1:30" ht="18.75" customHeight="1">
      <c r="A21" s="2444" t="s">
        <v>2620</v>
      </c>
      <c r="B21" s="2445">
        <v>3</v>
      </c>
      <c r="C21" s="2446">
        <v>0.182</v>
      </c>
      <c r="D21" s="2447">
        <v>0.54600000000000004</v>
      </c>
      <c r="E21" s="2448">
        <v>22</v>
      </c>
      <c r="F21" s="99" t="s">
        <v>845</v>
      </c>
      <c r="G21" s="473" t="s">
        <v>369</v>
      </c>
      <c r="H21" s="473" t="s">
        <v>369</v>
      </c>
      <c r="I21" s="473" t="s">
        <v>369</v>
      </c>
      <c r="J21" s="473" t="s">
        <v>369</v>
      </c>
      <c r="K21" s="473" t="s">
        <v>369</v>
      </c>
      <c r="L21" s="473" t="s">
        <v>369</v>
      </c>
      <c r="M21" s="473" t="s">
        <v>369</v>
      </c>
      <c r="N21" s="473" t="s">
        <v>369</v>
      </c>
      <c r="O21" s="473" t="s">
        <v>369</v>
      </c>
      <c r="P21" s="473" t="s">
        <v>369</v>
      </c>
      <c r="Q21" s="473" t="s">
        <v>369</v>
      </c>
      <c r="R21" s="473" t="s">
        <v>369</v>
      </c>
      <c r="S21" s="473" t="s">
        <v>369</v>
      </c>
      <c r="T21" s="474">
        <f>ROUND(165*Belarus*(1-D76),2)</f>
        <v>165</v>
      </c>
      <c r="U21" s="474" t="s">
        <v>369</v>
      </c>
      <c r="V21" s="473">
        <f>ROUND(215*Belarus*(1-E76),2)</f>
        <v>215</v>
      </c>
      <c r="W21" s="473">
        <f>ROUND(215*Belarus*(1-E76),2)</f>
        <v>215</v>
      </c>
      <c r="X21" s="473">
        <f>ROUND(215*Belarus*(1-E76),2)</f>
        <v>215</v>
      </c>
      <c r="Y21" s="473" t="s">
        <v>369</v>
      </c>
      <c r="Z21" s="474" t="s">
        <v>369</v>
      </c>
      <c r="AA21" s="474" t="s">
        <v>369</v>
      </c>
      <c r="AB21" s="474" t="s">
        <v>369</v>
      </c>
      <c r="AC21" s="474" t="s">
        <v>369</v>
      </c>
      <c r="AD21" s="474" t="s">
        <v>369</v>
      </c>
    </row>
    <row r="22" spans="1:30" ht="18.75" customHeight="1">
      <c r="A22" s="2444"/>
      <c r="B22" s="2445"/>
      <c r="C22" s="2446"/>
      <c r="D22" s="2447"/>
      <c r="E22" s="2448"/>
      <c r="F22" s="79" t="s">
        <v>2614</v>
      </c>
      <c r="G22" s="475" t="s">
        <v>369</v>
      </c>
      <c r="H22" s="475" t="s">
        <v>369</v>
      </c>
      <c r="I22" s="475" t="s">
        <v>369</v>
      </c>
      <c r="J22" s="475" t="s">
        <v>369</v>
      </c>
      <c r="K22" s="475" t="s">
        <v>369</v>
      </c>
      <c r="L22" s="475" t="s">
        <v>369</v>
      </c>
      <c r="M22" s="475" t="s">
        <v>369</v>
      </c>
      <c r="N22" s="475" t="s">
        <v>369</v>
      </c>
      <c r="O22" s="475" t="s">
        <v>369</v>
      </c>
      <c r="P22" s="475" t="s">
        <v>369</v>
      </c>
      <c r="Q22" s="475" t="s">
        <v>369</v>
      </c>
      <c r="R22" s="475" t="s">
        <v>369</v>
      </c>
      <c r="S22" s="475" t="s">
        <v>369</v>
      </c>
      <c r="T22" s="476">
        <f>T21/0.546</f>
        <v>302.19780219780216</v>
      </c>
      <c r="U22" s="476" t="s">
        <v>369</v>
      </c>
      <c r="V22" s="475">
        <f>V21/0.546</f>
        <v>393.77289377289372</v>
      </c>
      <c r="W22" s="475">
        <f>W21/0.546</f>
        <v>393.77289377289372</v>
      </c>
      <c r="X22" s="475">
        <f>X21/0.546</f>
        <v>393.77289377289372</v>
      </c>
      <c r="Y22" s="475" t="s">
        <v>369</v>
      </c>
      <c r="Z22" s="476" t="s">
        <v>369</v>
      </c>
      <c r="AA22" s="476" t="s">
        <v>369</v>
      </c>
      <c r="AB22" s="476" t="s">
        <v>369</v>
      </c>
      <c r="AC22" s="476" t="s">
        <v>369</v>
      </c>
      <c r="AD22" s="476" t="s">
        <v>369</v>
      </c>
    </row>
    <row r="23" spans="1:30" s="184" customFormat="1" ht="15" customHeight="1">
      <c r="A23" s="477"/>
      <c r="G23" s="478"/>
      <c r="H23" s="478"/>
      <c r="I23" s="478"/>
      <c r="J23" s="478"/>
      <c r="K23" s="478"/>
      <c r="L23" s="478"/>
      <c r="M23" s="478"/>
      <c r="N23" s="478"/>
      <c r="O23" s="478"/>
      <c r="V23" s="479"/>
      <c r="W23" s="479"/>
      <c r="X23" s="479"/>
      <c r="Y23" s="479"/>
      <c r="Z23" s="477"/>
      <c r="AA23" s="2441"/>
      <c r="AB23" s="2441"/>
      <c r="AC23" s="2441"/>
      <c r="AD23" s="2441"/>
    </row>
    <row r="24" spans="1:30" s="184" customFormat="1" ht="15" customHeight="1">
      <c r="A24" s="477"/>
      <c r="G24" s="478"/>
      <c r="H24" s="478"/>
      <c r="I24" s="478"/>
      <c r="J24" s="478"/>
      <c r="K24" s="478"/>
      <c r="L24" s="478"/>
      <c r="M24" s="478"/>
      <c r="N24" s="478"/>
      <c r="O24" s="478"/>
      <c r="V24" s="479"/>
      <c r="W24" s="479"/>
      <c r="X24" s="479"/>
      <c r="Y24" s="479"/>
      <c r="Z24" s="477"/>
      <c r="AA24" s="1080"/>
      <c r="AB24" s="1080"/>
      <c r="AC24" s="1080"/>
      <c r="AD24" s="1080"/>
    </row>
    <row r="25" spans="1:30" s="184" customFormat="1" ht="15" customHeight="1" thickBot="1">
      <c r="A25" s="1273" t="s">
        <v>2621</v>
      </c>
      <c r="B25" s="1273"/>
      <c r="C25" s="1273"/>
      <c r="D25" s="1273"/>
      <c r="E25" s="1273"/>
      <c r="F25" s="1273"/>
      <c r="G25" s="1273"/>
      <c r="H25" s="1273"/>
      <c r="I25" s="1273"/>
      <c r="J25" s="1273"/>
      <c r="K25" s="1273"/>
      <c r="L25" s="1273"/>
      <c r="M25" s="1273"/>
      <c r="N25" s="1273"/>
      <c r="O25" s="1273"/>
      <c r="P25" s="1273"/>
      <c r="Q25" s="1273"/>
      <c r="R25" s="1273"/>
      <c r="S25" s="1273"/>
      <c r="T25" s="1273"/>
      <c r="U25" s="1273"/>
      <c r="V25" s="1273"/>
      <c r="W25" s="1273"/>
      <c r="X25" s="1273"/>
      <c r="Y25" s="1273"/>
      <c r="Z25" s="1273"/>
      <c r="AA25" s="1273"/>
      <c r="AB25" s="1273"/>
      <c r="AC25" s="1273"/>
      <c r="AD25" s="1273"/>
    </row>
    <row r="26" spans="1:30" s="184" customFormat="1" ht="15" customHeight="1">
      <c r="A26" s="2"/>
      <c r="B26" s="46"/>
      <c r="C26" s="46"/>
      <c r="D26" s="46"/>
      <c r="E26" s="46"/>
      <c r="F26" s="46"/>
      <c r="G26" s="471"/>
      <c r="H26" s="471"/>
      <c r="I26" s="471"/>
      <c r="J26" s="471"/>
      <c r="K26" s="471"/>
      <c r="L26" s="471"/>
      <c r="M26" s="471"/>
      <c r="N26" s="471"/>
      <c r="O26" s="471"/>
      <c r="P26" s="46"/>
      <c r="Q26" s="46"/>
      <c r="R26" s="46"/>
      <c r="S26" s="46"/>
      <c r="T26" s="46"/>
      <c r="U26" s="46"/>
      <c r="V26" s="472"/>
      <c r="W26" s="472"/>
      <c r="X26" s="472"/>
      <c r="Y26" s="472"/>
      <c r="AB26" s="2" t="s">
        <v>315</v>
      </c>
      <c r="AC26" s="2442">
        <v>43285</v>
      </c>
      <c r="AD26" s="2442"/>
    </row>
    <row r="27" spans="1:30" s="184" customFormat="1" ht="15" customHeight="1">
      <c r="A27" s="1535" t="s">
        <v>2586</v>
      </c>
      <c r="B27" s="1733"/>
      <c r="C27" s="1733"/>
      <c r="D27" s="1733"/>
      <c r="E27" s="1733"/>
      <c r="F27" s="1536"/>
      <c r="G27" s="1398" t="s">
        <v>2505</v>
      </c>
      <c r="H27" s="1398"/>
      <c r="I27" s="1398"/>
      <c r="J27" s="1398"/>
      <c r="K27" s="1398"/>
      <c r="L27" s="1398"/>
      <c r="M27" s="1398"/>
      <c r="N27" s="1398"/>
      <c r="O27" s="1398"/>
      <c r="P27" s="1398"/>
      <c r="Q27" s="1398"/>
      <c r="R27" s="1398"/>
      <c r="S27" s="1398"/>
      <c r="T27" s="1398"/>
      <c r="U27" s="1398"/>
      <c r="V27" s="1398"/>
      <c r="W27" s="1398"/>
      <c r="X27" s="1398"/>
      <c r="Y27" s="1398"/>
      <c r="Z27" s="1398"/>
      <c r="AA27" s="1398"/>
      <c r="AB27" s="1398"/>
      <c r="AC27" s="1398"/>
      <c r="AD27" s="1398"/>
    </row>
    <row r="28" spans="1:30" s="184" customFormat="1" ht="15" customHeight="1">
      <c r="A28" s="1537"/>
      <c r="B28" s="1734"/>
      <c r="C28" s="1734"/>
      <c r="D28" s="1734"/>
      <c r="E28" s="1734"/>
      <c r="F28" s="1538"/>
      <c r="G28" s="1398" t="s">
        <v>2587</v>
      </c>
      <c r="H28" s="1398"/>
      <c r="I28" s="1398"/>
      <c r="J28" s="1398"/>
      <c r="K28" s="1398"/>
      <c r="L28" s="1398"/>
      <c r="M28" s="1398"/>
      <c r="N28" s="1398"/>
      <c r="O28" s="1398"/>
      <c r="P28" s="1398"/>
      <c r="Q28" s="1398"/>
      <c r="R28" s="1398"/>
      <c r="S28" s="1398"/>
      <c r="T28" s="1398" t="s">
        <v>2588</v>
      </c>
      <c r="U28" s="1398"/>
      <c r="V28" s="1398" t="s">
        <v>2589</v>
      </c>
      <c r="W28" s="2443"/>
      <c r="X28" s="2443"/>
      <c r="Y28" s="2443"/>
      <c r="Z28" s="1398" t="s">
        <v>2590</v>
      </c>
      <c r="AA28" s="2443"/>
      <c r="AB28" s="2443"/>
      <c r="AC28" s="2443"/>
      <c r="AD28" s="2443"/>
    </row>
    <row r="29" spans="1:30" s="184" customFormat="1" ht="15" customHeight="1">
      <c r="A29" s="1568"/>
      <c r="B29" s="1735"/>
      <c r="C29" s="1735"/>
      <c r="D29" s="1735"/>
      <c r="E29" s="1735"/>
      <c r="F29" s="1569"/>
      <c r="G29" s="1398" t="s">
        <v>2591</v>
      </c>
      <c r="H29" s="1398"/>
      <c r="I29" s="1398"/>
      <c r="J29" s="1398"/>
      <c r="K29" s="1398"/>
      <c r="L29" s="1398"/>
      <c r="M29" s="1398"/>
      <c r="N29" s="1398"/>
      <c r="O29" s="1398"/>
      <c r="P29" s="1398" t="s">
        <v>2592</v>
      </c>
      <c r="Q29" s="1398"/>
      <c r="R29" s="1398"/>
      <c r="S29" s="2033" t="s">
        <v>568</v>
      </c>
      <c r="T29" s="1398"/>
      <c r="U29" s="1398"/>
      <c r="V29" s="2443"/>
      <c r="W29" s="2443"/>
      <c r="X29" s="2443"/>
      <c r="Y29" s="2443"/>
      <c r="Z29" s="2443"/>
      <c r="AA29" s="2443"/>
      <c r="AB29" s="2443"/>
      <c r="AC29" s="2443"/>
      <c r="AD29" s="2443"/>
    </row>
    <row r="30" spans="1:30" s="184" customFormat="1" ht="37.5" customHeight="1">
      <c r="A30" s="126" t="s">
        <v>307</v>
      </c>
      <c r="B30" s="126" t="s">
        <v>318</v>
      </c>
      <c r="C30" s="126" t="s">
        <v>2593</v>
      </c>
      <c r="D30" s="126" t="s">
        <v>2594</v>
      </c>
      <c r="E30" s="126" t="s">
        <v>2595</v>
      </c>
      <c r="F30" s="126" t="s">
        <v>4233</v>
      </c>
      <c r="G30" s="126" t="s">
        <v>566</v>
      </c>
      <c r="H30" s="126" t="s">
        <v>2596</v>
      </c>
      <c r="I30" s="126" t="s">
        <v>2597</v>
      </c>
      <c r="J30" s="126" t="s">
        <v>2598</v>
      </c>
      <c r="K30" s="126" t="s">
        <v>2599</v>
      </c>
      <c r="L30" s="126" t="s">
        <v>2600</v>
      </c>
      <c r="M30" s="126" t="s">
        <v>2601</v>
      </c>
      <c r="N30" s="126" t="s">
        <v>1393</v>
      </c>
      <c r="O30" s="126" t="s">
        <v>2602</v>
      </c>
      <c r="P30" s="126" t="s">
        <v>2603</v>
      </c>
      <c r="Q30" s="126" t="s">
        <v>2604</v>
      </c>
      <c r="R30" s="126" t="s">
        <v>2605</v>
      </c>
      <c r="S30" s="2034"/>
      <c r="T30" s="126" t="s">
        <v>2606</v>
      </c>
      <c r="U30" s="126" t="s">
        <v>2607</v>
      </c>
      <c r="V30" s="126" t="s">
        <v>2608</v>
      </c>
      <c r="W30" s="126" t="s">
        <v>2609</v>
      </c>
      <c r="X30" s="126" t="s">
        <v>2610</v>
      </c>
      <c r="Y30" s="126" t="s">
        <v>2611</v>
      </c>
      <c r="Z30" s="126" t="s">
        <v>566</v>
      </c>
      <c r="AA30" s="126" t="s">
        <v>2596</v>
      </c>
      <c r="AB30" s="126" t="s">
        <v>2597</v>
      </c>
      <c r="AC30" s="126" t="s">
        <v>2598</v>
      </c>
      <c r="AD30" s="126" t="s">
        <v>2622</v>
      </c>
    </row>
    <row r="31" spans="1:30" ht="15" customHeight="1">
      <c r="A31" s="2439" t="s">
        <v>2623</v>
      </c>
      <c r="B31" s="2439"/>
      <c r="C31" s="2439"/>
      <c r="D31" s="2439"/>
      <c r="E31" s="2439"/>
      <c r="F31" s="2439"/>
      <c r="G31" s="2439"/>
      <c r="H31" s="2439"/>
      <c r="I31" s="2439"/>
      <c r="J31" s="2439"/>
      <c r="K31" s="2439"/>
      <c r="L31" s="2439"/>
      <c r="M31" s="2439"/>
      <c r="N31" s="2439"/>
      <c r="O31" s="2439"/>
      <c r="P31" s="2439"/>
      <c r="Q31" s="2439"/>
      <c r="R31" s="2439"/>
      <c r="S31" s="2439"/>
      <c r="T31" s="2439"/>
      <c r="U31" s="2439"/>
      <c r="V31" s="2439"/>
      <c r="W31" s="2439"/>
      <c r="X31" s="2439"/>
      <c r="Y31" s="2439"/>
      <c r="Z31" s="2439"/>
      <c r="AA31" s="2439"/>
      <c r="AB31" s="2439"/>
      <c r="AC31" s="2439"/>
      <c r="AD31" s="2439"/>
    </row>
    <row r="32" spans="1:30" ht="18.75" customHeight="1">
      <c r="A32" s="122" t="s">
        <v>2624</v>
      </c>
      <c r="B32" s="480">
        <v>3</v>
      </c>
      <c r="C32" s="480" t="s">
        <v>369</v>
      </c>
      <c r="D32" s="480" t="s">
        <v>369</v>
      </c>
      <c r="E32" s="48">
        <v>24</v>
      </c>
      <c r="F32" s="89" t="s">
        <v>845</v>
      </c>
      <c r="G32" s="481">
        <f>ROUND(546*Belarus*(1-C82),2)</f>
        <v>546</v>
      </c>
      <c r="H32" s="481">
        <f>ROUND(546*Belarus*(1-C82),2)</f>
        <v>546</v>
      </c>
      <c r="I32" s="481">
        <f>ROUND(546*Belarus*(1-C82),2)</f>
        <v>546</v>
      </c>
      <c r="J32" s="481">
        <f>ROUND(546*Belarus*(1-C82),2)</f>
        <v>546</v>
      </c>
      <c r="K32" s="481">
        <f>ROUND(546*Belarus*(1-C82),2)</f>
        <v>546</v>
      </c>
      <c r="L32" s="481">
        <f>ROUND(546*Belarus*(1-C82),2)</f>
        <v>546</v>
      </c>
      <c r="M32" s="481">
        <f>ROUND(546*Belarus*(1-C82),2)</f>
        <v>546</v>
      </c>
      <c r="N32" s="481">
        <f>ROUND(546*Belarus*(1-C82),2)</f>
        <v>546</v>
      </c>
      <c r="O32" s="481">
        <f>ROUND(546*Belarus*(1-C82),2)</f>
        <v>546</v>
      </c>
      <c r="P32" s="481">
        <f>ROUND(629*Belarus*(1-C82),2)</f>
        <v>629</v>
      </c>
      <c r="Q32" s="481">
        <f>ROUND(629*Belarus*(1-C82),2)</f>
        <v>629</v>
      </c>
      <c r="R32" s="481">
        <f>ROUND(546*Belarus*(1-C82),2)</f>
        <v>546</v>
      </c>
      <c r="S32" s="481">
        <f>ROUND(587*Belarus*(1-C82),2)</f>
        <v>587</v>
      </c>
      <c r="T32" s="480">
        <f>ROUND(685*Belarus*(1-C82),2)</f>
        <v>685</v>
      </c>
      <c r="U32" s="221">
        <f>ROUND(493*Belarus*(1-C82),2)</f>
        <v>493</v>
      </c>
      <c r="V32" s="219">
        <f>ROUND(627*Belarus*(1-C82),2)</f>
        <v>627</v>
      </c>
      <c r="W32" s="282">
        <f>ROUND(627*Belarus*(1-C82),2)</f>
        <v>627</v>
      </c>
      <c r="X32" s="282">
        <f>ROUND(627*Belarus*(1-C82),2)</f>
        <v>627</v>
      </c>
      <c r="Y32" s="282">
        <f>ROUND(627*Belarus*(1-C82),2)</f>
        <v>627</v>
      </c>
      <c r="Z32" s="221" t="s">
        <v>369</v>
      </c>
      <c r="AA32" s="221" t="s">
        <v>369</v>
      </c>
      <c r="AB32" s="221" t="s">
        <v>369</v>
      </c>
      <c r="AC32" s="221" t="s">
        <v>369</v>
      </c>
      <c r="AD32" s="221" t="s">
        <v>369</v>
      </c>
    </row>
    <row r="33" spans="1:30" ht="18.75" customHeight="1">
      <c r="A33" s="124" t="s">
        <v>2625</v>
      </c>
      <c r="B33" s="480">
        <v>3</v>
      </c>
      <c r="C33" s="480" t="s">
        <v>369</v>
      </c>
      <c r="D33" s="480" t="s">
        <v>369</v>
      </c>
      <c r="E33" s="48">
        <v>51</v>
      </c>
      <c r="F33" s="89" t="s">
        <v>845</v>
      </c>
      <c r="G33" s="219">
        <f>ROUND(212*Belarus*(1-C82),2)</f>
        <v>212</v>
      </c>
      <c r="H33" s="219">
        <f>ROUND(212*Belarus*(1-C82),2)</f>
        <v>212</v>
      </c>
      <c r="I33" s="219">
        <f>ROUND(212*Belarus*(1-C82),2)</f>
        <v>212</v>
      </c>
      <c r="J33" s="219">
        <f>ROUND(212*Belarus*(1-C82),2)</f>
        <v>212</v>
      </c>
      <c r="K33" s="219">
        <f>ROUND(212*Belarus*(1-C82),2)</f>
        <v>212</v>
      </c>
      <c r="L33" s="219">
        <f>ROUND(212*Belarus*(1-C82),2)</f>
        <v>212</v>
      </c>
      <c r="M33" s="219">
        <f>ROUND(212*Belarus*(1-C82),2)</f>
        <v>212</v>
      </c>
      <c r="N33" s="219">
        <f>ROUND(212*Belarus*(1-C82),2)</f>
        <v>212</v>
      </c>
      <c r="O33" s="219">
        <f>ROUND(212*Belarus*(1-C82),2)</f>
        <v>212</v>
      </c>
      <c r="P33" s="219">
        <f>ROUND(243*Belarus*(1-C82),2)</f>
        <v>243</v>
      </c>
      <c r="Q33" s="219">
        <f>ROUND(243*Belarus*(1-C82),2)</f>
        <v>243</v>
      </c>
      <c r="R33" s="219">
        <f>ROUND(212*Belarus*(1-C82),2)</f>
        <v>212</v>
      </c>
      <c r="S33" s="219">
        <f>ROUND(227*Belarus*(1-C82),2)</f>
        <v>227</v>
      </c>
      <c r="T33" s="221">
        <f>ROUND(265*Belarus*(1-C82),2)</f>
        <v>265</v>
      </c>
      <c r="U33" s="221">
        <f>ROUND(191*Belarus*(1-C82),2)</f>
        <v>191</v>
      </c>
      <c r="V33" s="219">
        <f>ROUND(275*Belarus*(1-C82),2)</f>
        <v>275</v>
      </c>
      <c r="W33" s="219">
        <f>ROUND(275*Belarus*(1-C82),2)</f>
        <v>275</v>
      </c>
      <c r="X33" s="219">
        <f>ROUND(275*Belarus*(1-C82),2)</f>
        <v>275</v>
      </c>
      <c r="Y33" s="219">
        <f>ROUND(275*Belarus*(1-C82),2)</f>
        <v>275</v>
      </c>
      <c r="Z33" s="221" t="s">
        <v>369</v>
      </c>
      <c r="AA33" s="221" t="s">
        <v>369</v>
      </c>
      <c r="AB33" s="221" t="s">
        <v>369</v>
      </c>
      <c r="AC33" s="221" t="s">
        <v>369</v>
      </c>
      <c r="AD33" s="221" t="s">
        <v>369</v>
      </c>
    </row>
    <row r="34" spans="1:30" ht="18.75" customHeight="1">
      <c r="A34" s="124" t="s">
        <v>4234</v>
      </c>
      <c r="B34" s="480">
        <v>3</v>
      </c>
      <c r="C34" s="480" t="s">
        <v>369</v>
      </c>
      <c r="D34" s="480" t="s">
        <v>369</v>
      </c>
      <c r="E34" s="48">
        <v>69</v>
      </c>
      <c r="F34" s="89" t="s">
        <v>845</v>
      </c>
      <c r="G34" s="219">
        <f>ROUND(190*Belarus*(1-C82),2)</f>
        <v>190</v>
      </c>
      <c r="H34" s="219" t="s">
        <v>369</v>
      </c>
      <c r="I34" s="219" t="s">
        <v>369</v>
      </c>
      <c r="J34" s="219" t="s">
        <v>369</v>
      </c>
      <c r="K34" s="219" t="s">
        <v>369</v>
      </c>
      <c r="L34" s="219" t="s">
        <v>369</v>
      </c>
      <c r="M34" s="219" t="s">
        <v>369</v>
      </c>
      <c r="N34" s="219" t="s">
        <v>369</v>
      </c>
      <c r="O34" s="219" t="s">
        <v>369</v>
      </c>
      <c r="P34" s="219" t="s">
        <v>369</v>
      </c>
      <c r="Q34" s="219" t="s">
        <v>369</v>
      </c>
      <c r="R34" s="219" t="s">
        <v>369</v>
      </c>
      <c r="S34" s="219">
        <f>ROUND(194*Belarus*(1-C82),2)</f>
        <v>194</v>
      </c>
      <c r="T34" s="221" t="s">
        <v>369</v>
      </c>
      <c r="U34" s="221" t="s">
        <v>369</v>
      </c>
      <c r="V34" s="219" t="s">
        <v>369</v>
      </c>
      <c r="W34" s="219" t="s">
        <v>369</v>
      </c>
      <c r="X34" s="219" t="s">
        <v>369</v>
      </c>
      <c r="Y34" s="219" t="s">
        <v>369</v>
      </c>
      <c r="Z34" s="221" t="s">
        <v>369</v>
      </c>
      <c r="AA34" s="221" t="s">
        <v>369</v>
      </c>
      <c r="AB34" s="221" t="s">
        <v>369</v>
      </c>
      <c r="AC34" s="221" t="s">
        <v>369</v>
      </c>
      <c r="AD34" s="221" t="s">
        <v>369</v>
      </c>
    </row>
    <row r="35" spans="1:30" ht="18.75" customHeight="1">
      <c r="A35" s="122" t="s">
        <v>2626</v>
      </c>
      <c r="B35" s="480">
        <v>3</v>
      </c>
      <c r="C35" s="480" t="s">
        <v>369</v>
      </c>
      <c r="D35" s="480" t="s">
        <v>369</v>
      </c>
      <c r="E35" s="48">
        <v>50</v>
      </c>
      <c r="F35" s="89" t="s">
        <v>845</v>
      </c>
      <c r="G35" s="481">
        <f>ROUND(175*Belarus*(1-C82),2)</f>
        <v>175</v>
      </c>
      <c r="H35" s="481">
        <f>ROUND(175*Belarus*(1-C82),2)</f>
        <v>175</v>
      </c>
      <c r="I35" s="481">
        <f>ROUND(175*Belarus*(1-C82),2)</f>
        <v>175</v>
      </c>
      <c r="J35" s="219">
        <f>ROUND(158*Belarus*(1-C82),2)</f>
        <v>158</v>
      </c>
      <c r="K35" s="219">
        <f>ROUND(149*Belarus*(1-C82),2)</f>
        <v>149</v>
      </c>
      <c r="L35" s="219">
        <f>ROUND(149*Belarus*(1-C82),2)</f>
        <v>149</v>
      </c>
      <c r="M35" s="219">
        <f>ROUND(149*Belarus*(1-C82),2)</f>
        <v>149</v>
      </c>
      <c r="N35" s="219">
        <f>ROUND(149*Belarus*(1-C82),2)</f>
        <v>149</v>
      </c>
      <c r="O35" s="481">
        <f>ROUND(175*Belarus*(1-C82),2)</f>
        <v>175</v>
      </c>
      <c r="P35" s="219">
        <f>ROUND(182*Belarus*(1-C82),2)</f>
        <v>182</v>
      </c>
      <c r="Q35" s="219">
        <f>ROUND(172*Belarus*(1-C82),2)</f>
        <v>172</v>
      </c>
      <c r="R35" s="219">
        <f>ROUND(158*Belarus*(1-C82),2)</f>
        <v>158</v>
      </c>
      <c r="S35" s="481">
        <f>ROUND(190*Belarus*(1-C82),2)</f>
        <v>190</v>
      </c>
      <c r="T35" s="221">
        <f>ROUND(189*Belarus*(1-C82),2)</f>
        <v>189</v>
      </c>
      <c r="U35" s="221">
        <f>ROUND(159*Belarus*(1-C82),2)</f>
        <v>159</v>
      </c>
      <c r="V35" s="481" t="s">
        <v>369</v>
      </c>
      <c r="W35" s="481" t="s">
        <v>369</v>
      </c>
      <c r="X35" s="481" t="s">
        <v>369</v>
      </c>
      <c r="Y35" s="481" t="s">
        <v>369</v>
      </c>
      <c r="Z35" s="221" t="s">
        <v>369</v>
      </c>
      <c r="AA35" s="221" t="s">
        <v>369</v>
      </c>
      <c r="AB35" s="221" t="s">
        <v>369</v>
      </c>
      <c r="AC35" s="221" t="s">
        <v>369</v>
      </c>
      <c r="AD35" s="221" t="s">
        <v>369</v>
      </c>
    </row>
    <row r="36" spans="1:30" ht="18.75" customHeight="1">
      <c r="A36" s="122" t="s">
        <v>2627</v>
      </c>
      <c r="B36" s="480">
        <v>3</v>
      </c>
      <c r="C36" s="480" t="s">
        <v>369</v>
      </c>
      <c r="D36" s="480" t="s">
        <v>369</v>
      </c>
      <c r="E36" s="48">
        <v>40</v>
      </c>
      <c r="F36" s="89" t="s">
        <v>845</v>
      </c>
      <c r="G36" s="481">
        <f>ROUND(171*Belarus*(1-C82),2)</f>
        <v>171</v>
      </c>
      <c r="H36" s="481" t="s">
        <v>369</v>
      </c>
      <c r="I36" s="481" t="s">
        <v>369</v>
      </c>
      <c r="J36" s="219" t="s">
        <v>369</v>
      </c>
      <c r="K36" s="219" t="s">
        <v>369</v>
      </c>
      <c r="L36" s="219" t="s">
        <v>369</v>
      </c>
      <c r="M36" s="219" t="s">
        <v>369</v>
      </c>
      <c r="N36" s="219" t="s">
        <v>369</v>
      </c>
      <c r="O36" s="481" t="s">
        <v>369</v>
      </c>
      <c r="P36" s="219" t="s">
        <v>369</v>
      </c>
      <c r="Q36" s="219" t="s">
        <v>369</v>
      </c>
      <c r="R36" s="219" t="s">
        <v>369</v>
      </c>
      <c r="S36" s="282" t="s">
        <v>369</v>
      </c>
      <c r="T36" s="221" t="s">
        <v>369</v>
      </c>
      <c r="U36" s="221" t="s">
        <v>369</v>
      </c>
      <c r="V36" s="481" t="s">
        <v>369</v>
      </c>
      <c r="W36" s="481" t="s">
        <v>369</v>
      </c>
      <c r="X36" s="481" t="s">
        <v>369</v>
      </c>
      <c r="Y36" s="481" t="s">
        <v>369</v>
      </c>
      <c r="Z36" s="221" t="s">
        <v>369</v>
      </c>
      <c r="AA36" s="221" t="s">
        <v>369</v>
      </c>
      <c r="AB36" s="221" t="s">
        <v>369</v>
      </c>
      <c r="AC36" s="221" t="s">
        <v>369</v>
      </c>
      <c r="AD36" s="221" t="s">
        <v>369</v>
      </c>
    </row>
    <row r="37" spans="1:30" ht="18.75" customHeight="1">
      <c r="A37" s="124" t="s">
        <v>310</v>
      </c>
      <c r="B37" s="480">
        <v>3</v>
      </c>
      <c r="C37" s="480" t="s">
        <v>369</v>
      </c>
      <c r="D37" s="480" t="s">
        <v>369</v>
      </c>
      <c r="E37" s="48">
        <v>10</v>
      </c>
      <c r="F37" s="89" t="s">
        <v>845</v>
      </c>
      <c r="G37" s="219">
        <f>ROUND(599*Belarus*(1-C82),2)</f>
        <v>599</v>
      </c>
      <c r="H37" s="219">
        <f>ROUND(599*Belarus*(1-C82),2)</f>
        <v>599</v>
      </c>
      <c r="I37" s="219">
        <f>ROUND(599*Belarus*(1-C82),2)</f>
        <v>599</v>
      </c>
      <c r="J37" s="219">
        <f>ROUND(599*Belarus*(1-C82),2)</f>
        <v>599</v>
      </c>
      <c r="K37" s="219">
        <f>ROUND(539*Belarus*(1-C82),2)</f>
        <v>539</v>
      </c>
      <c r="L37" s="219">
        <f>ROUND(599*Belarus*(1-C82),2)</f>
        <v>599</v>
      </c>
      <c r="M37" s="219">
        <f>ROUND(599*Belarus*(1-C82),2)</f>
        <v>599</v>
      </c>
      <c r="N37" s="219">
        <f>ROUND(599*Belarus*(1-C82),2)</f>
        <v>599</v>
      </c>
      <c r="O37" s="219">
        <f>ROUND(599*Belarus*(1-C82),2)</f>
        <v>599</v>
      </c>
      <c r="P37" s="219">
        <f>ROUND(691*Belarus*(1-C82),2)</f>
        <v>691</v>
      </c>
      <c r="Q37" s="219">
        <f>ROUND(691*Belarus*(1-C82),2)</f>
        <v>691</v>
      </c>
      <c r="R37" s="219">
        <f>ROUND(599*Belarus*(1-C82),2)</f>
        <v>599</v>
      </c>
      <c r="S37" s="219">
        <f>ROUND(637*Belarus*(1-C82),2)</f>
        <v>637</v>
      </c>
      <c r="T37" s="221">
        <f>ROUND(746*Belarus*(1-C82),2)</f>
        <v>746</v>
      </c>
      <c r="U37" s="221">
        <f>ROUND(537*Belarus*(1-C82),2)</f>
        <v>537</v>
      </c>
      <c r="V37" s="219">
        <f>ROUND(673*Belarus*(1-C82),2)</f>
        <v>673</v>
      </c>
      <c r="W37" s="219">
        <f>ROUND(673*Belarus*(1-C82),2)</f>
        <v>673</v>
      </c>
      <c r="X37" s="219">
        <f>ROUND(673*Belarus*(1-C82),2)</f>
        <v>673</v>
      </c>
      <c r="Y37" s="219">
        <f>ROUND(673*Belarus*(1-C82),2)</f>
        <v>673</v>
      </c>
      <c r="Z37" s="221" t="s">
        <v>369</v>
      </c>
      <c r="AA37" s="221" t="s">
        <v>369</v>
      </c>
      <c r="AB37" s="221" t="s">
        <v>369</v>
      </c>
      <c r="AC37" s="221" t="s">
        <v>369</v>
      </c>
      <c r="AD37" s="221" t="s">
        <v>369</v>
      </c>
    </row>
    <row r="38" spans="1:30" ht="18.75" customHeight="1">
      <c r="A38" s="124" t="s">
        <v>4235</v>
      </c>
      <c r="B38" s="480">
        <v>3</v>
      </c>
      <c r="C38" s="480" t="s">
        <v>369</v>
      </c>
      <c r="D38" s="480" t="s">
        <v>369</v>
      </c>
      <c r="E38" s="48">
        <v>8</v>
      </c>
      <c r="F38" s="89" t="s">
        <v>845</v>
      </c>
      <c r="G38" s="219">
        <f>ROUND(539*Belarus*(1-C82),2)</f>
        <v>539</v>
      </c>
      <c r="H38" s="219" t="s">
        <v>369</v>
      </c>
      <c r="I38" s="219" t="s">
        <v>369</v>
      </c>
      <c r="J38" s="219" t="s">
        <v>369</v>
      </c>
      <c r="K38" s="219" t="s">
        <v>369</v>
      </c>
      <c r="L38" s="219" t="s">
        <v>369</v>
      </c>
      <c r="M38" s="219" t="s">
        <v>369</v>
      </c>
      <c r="N38" s="219" t="s">
        <v>369</v>
      </c>
      <c r="O38" s="219" t="s">
        <v>369</v>
      </c>
      <c r="P38" s="219" t="s">
        <v>369</v>
      </c>
      <c r="Q38" s="219" t="s">
        <v>369</v>
      </c>
      <c r="R38" s="219" t="s">
        <v>369</v>
      </c>
      <c r="S38" s="219">
        <f>ROUND(535*Belarus*(1-C82),2)</f>
        <v>535</v>
      </c>
      <c r="T38" s="221" t="s">
        <v>369</v>
      </c>
      <c r="U38" s="221" t="s">
        <v>369</v>
      </c>
      <c r="V38" s="219" t="s">
        <v>369</v>
      </c>
      <c r="W38" s="219" t="s">
        <v>369</v>
      </c>
      <c r="X38" s="219" t="s">
        <v>369</v>
      </c>
      <c r="Y38" s="219" t="s">
        <v>369</v>
      </c>
      <c r="Z38" s="221" t="s">
        <v>369</v>
      </c>
      <c r="AA38" s="221" t="s">
        <v>369</v>
      </c>
      <c r="AB38" s="221" t="s">
        <v>369</v>
      </c>
      <c r="AC38" s="221" t="s">
        <v>369</v>
      </c>
      <c r="AD38" s="221" t="s">
        <v>369</v>
      </c>
    </row>
    <row r="39" spans="1:30" ht="18.75" customHeight="1">
      <c r="A39" s="122" t="s">
        <v>2628</v>
      </c>
      <c r="B39" s="480">
        <v>3</v>
      </c>
      <c r="C39" s="480" t="s">
        <v>369</v>
      </c>
      <c r="D39" s="480" t="s">
        <v>369</v>
      </c>
      <c r="E39" s="48">
        <v>20</v>
      </c>
      <c r="F39" s="89" t="s">
        <v>845</v>
      </c>
      <c r="G39" s="481">
        <f>ROUND(527*Belarus*(1-C82),2)</f>
        <v>527</v>
      </c>
      <c r="H39" s="481">
        <f>ROUND(527*Belarus*(1-C82),2)</f>
        <v>527</v>
      </c>
      <c r="I39" s="481">
        <f>ROUND(527*Belarus*(1-C82),2)</f>
        <v>527</v>
      </c>
      <c r="J39" s="481">
        <f>ROUND(527*Belarus*(1-C82),2)</f>
        <v>527</v>
      </c>
      <c r="K39" s="219">
        <f>ROUND(448*Belarus*(1-C82),2)</f>
        <v>448</v>
      </c>
      <c r="L39" s="219">
        <f>ROUND(474*Belarus*(1-C82),2)</f>
        <v>474</v>
      </c>
      <c r="M39" s="219">
        <f>ROUND(474*Belarus*(1-C82),2)</f>
        <v>474</v>
      </c>
      <c r="N39" s="481">
        <f>ROUND(527*Belarus*(1-C82),2)</f>
        <v>527</v>
      </c>
      <c r="O39" s="481">
        <f>ROUND(527*Belarus*(1-C82),2)</f>
        <v>527</v>
      </c>
      <c r="P39" s="219">
        <f>ROUND(547*Belarus*(1-C82),2)</f>
        <v>547</v>
      </c>
      <c r="Q39" s="481">
        <f>ROUND(608*Belarus*(1-C82),2)</f>
        <v>608</v>
      </c>
      <c r="R39" s="481">
        <f>ROUND(527*Belarus*(1-C82),2)</f>
        <v>527</v>
      </c>
      <c r="S39" s="481">
        <f>ROUND(568*Belarus*(1-C82),2)</f>
        <v>568</v>
      </c>
      <c r="T39" s="221">
        <f>ROUND(568*Belarus*(1-C82),2)</f>
        <v>568</v>
      </c>
      <c r="U39" s="221">
        <f>ROUND(478*Belarus*(1-C82),2)</f>
        <v>478</v>
      </c>
      <c r="V39" s="481" t="s">
        <v>369</v>
      </c>
      <c r="W39" s="481" t="s">
        <v>369</v>
      </c>
      <c r="X39" s="481" t="s">
        <v>369</v>
      </c>
      <c r="Y39" s="481" t="s">
        <v>369</v>
      </c>
      <c r="Z39" s="221" t="s">
        <v>369</v>
      </c>
      <c r="AA39" s="221" t="s">
        <v>369</v>
      </c>
      <c r="AB39" s="221" t="s">
        <v>369</v>
      </c>
      <c r="AC39" s="221" t="s">
        <v>369</v>
      </c>
      <c r="AD39" s="221" t="s">
        <v>369</v>
      </c>
    </row>
    <row r="40" spans="1:30" ht="18.75" customHeight="1">
      <c r="A40" s="122" t="s">
        <v>2629</v>
      </c>
      <c r="B40" s="480">
        <v>3</v>
      </c>
      <c r="C40" s="480" t="s">
        <v>369</v>
      </c>
      <c r="D40" s="480" t="s">
        <v>369</v>
      </c>
      <c r="E40" s="48">
        <v>50</v>
      </c>
      <c r="F40" s="89" t="s">
        <v>845</v>
      </c>
      <c r="G40" s="481">
        <f>ROUND(312*Belarus*(1-C82),2)</f>
        <v>312</v>
      </c>
      <c r="H40" s="481">
        <f>ROUND(312*Belarus*(1-C82),2)</f>
        <v>312</v>
      </c>
      <c r="I40" s="481">
        <f>ROUND(312*Belarus*(1-C82),2)</f>
        <v>312</v>
      </c>
      <c r="J40" s="481">
        <f>ROUND(312*Belarus*(1-C82),2)</f>
        <v>312</v>
      </c>
      <c r="K40" s="481" t="s">
        <v>369</v>
      </c>
      <c r="L40" s="481" t="s">
        <v>369</v>
      </c>
      <c r="M40" s="481" t="s">
        <v>369</v>
      </c>
      <c r="N40" s="481" t="s">
        <v>369</v>
      </c>
      <c r="O40" s="481" t="s">
        <v>369</v>
      </c>
      <c r="P40" s="2437" t="s">
        <v>369</v>
      </c>
      <c r="Q40" s="2437"/>
      <c r="R40" s="481" t="s">
        <v>369</v>
      </c>
      <c r="S40" s="481" t="s">
        <v>369</v>
      </c>
      <c r="T40" s="2440" t="s">
        <v>369</v>
      </c>
      <c r="U40" s="2440"/>
      <c r="V40" s="2437" t="s">
        <v>369</v>
      </c>
      <c r="W40" s="2437"/>
      <c r="X40" s="2437"/>
      <c r="Y40" s="2437"/>
      <c r="Z40" s="221" t="s">
        <v>369</v>
      </c>
      <c r="AA40" s="221" t="s">
        <v>369</v>
      </c>
      <c r="AB40" s="221" t="s">
        <v>369</v>
      </c>
      <c r="AC40" s="221" t="s">
        <v>369</v>
      </c>
      <c r="AD40" s="221" t="s">
        <v>369</v>
      </c>
    </row>
    <row r="41" spans="1:30" ht="18.75" customHeight="1">
      <c r="A41" s="122" t="s">
        <v>2630</v>
      </c>
      <c r="B41" s="480">
        <v>3</v>
      </c>
      <c r="C41" s="480" t="s">
        <v>369</v>
      </c>
      <c r="D41" s="480" t="s">
        <v>369</v>
      </c>
      <c r="E41" s="48">
        <v>24</v>
      </c>
      <c r="F41" s="89" t="s">
        <v>845</v>
      </c>
      <c r="G41" s="481">
        <f>ROUND(546*Belarus*(1-C82),2)</f>
        <v>546</v>
      </c>
      <c r="H41" s="481" t="s">
        <v>369</v>
      </c>
      <c r="I41" s="481" t="s">
        <v>369</v>
      </c>
      <c r="J41" s="481" t="s">
        <v>369</v>
      </c>
      <c r="K41" s="481" t="s">
        <v>369</v>
      </c>
      <c r="L41" s="481" t="s">
        <v>369</v>
      </c>
      <c r="M41" s="481" t="s">
        <v>369</v>
      </c>
      <c r="N41" s="481" t="s">
        <v>369</v>
      </c>
      <c r="O41" s="481" t="s">
        <v>369</v>
      </c>
      <c r="P41" s="2437" t="s">
        <v>369</v>
      </c>
      <c r="Q41" s="2437"/>
      <c r="R41" s="481" t="s">
        <v>369</v>
      </c>
      <c r="S41" s="481">
        <f>ROUND(587*Belarus*(1-C82),2)</f>
        <v>587</v>
      </c>
      <c r="T41" s="221">
        <f>ROUND(685*Belarus*(1-C82),2)</f>
        <v>685</v>
      </c>
      <c r="U41" s="221" t="s">
        <v>369</v>
      </c>
      <c r="V41" s="2437" t="s">
        <v>369</v>
      </c>
      <c r="W41" s="2437"/>
      <c r="X41" s="2437"/>
      <c r="Y41" s="2437"/>
      <c r="Z41" s="221" t="s">
        <v>369</v>
      </c>
      <c r="AA41" s="221" t="s">
        <v>369</v>
      </c>
      <c r="AB41" s="221" t="s">
        <v>369</v>
      </c>
      <c r="AC41" s="221" t="s">
        <v>369</v>
      </c>
      <c r="AD41" s="221" t="s">
        <v>369</v>
      </c>
    </row>
    <row r="42" spans="1:30" ht="18.75" customHeight="1">
      <c r="A42" s="122" t="s">
        <v>2631</v>
      </c>
      <c r="B42" s="480">
        <v>3</v>
      </c>
      <c r="C42" s="480" t="s">
        <v>369</v>
      </c>
      <c r="D42" s="480" t="s">
        <v>369</v>
      </c>
      <c r="E42" s="48">
        <v>20</v>
      </c>
      <c r="F42" s="89" t="s">
        <v>845</v>
      </c>
      <c r="G42" s="219">
        <f>ROUND(546*Belarus*(1-C82),2)</f>
        <v>546</v>
      </c>
      <c r="H42" s="219" t="s">
        <v>369</v>
      </c>
      <c r="I42" s="219" t="s">
        <v>369</v>
      </c>
      <c r="J42" s="219" t="s">
        <v>369</v>
      </c>
      <c r="K42" s="219" t="s">
        <v>369</v>
      </c>
      <c r="L42" s="219" t="s">
        <v>369</v>
      </c>
      <c r="M42" s="219" t="s">
        <v>369</v>
      </c>
      <c r="N42" s="219" t="s">
        <v>369</v>
      </c>
      <c r="O42" s="219" t="s">
        <v>369</v>
      </c>
      <c r="P42" s="2437" t="s">
        <v>369</v>
      </c>
      <c r="Q42" s="2437"/>
      <c r="R42" s="219" t="s">
        <v>369</v>
      </c>
      <c r="S42" s="219">
        <f>ROUND(587*Belarus*(1-C82),2)</f>
        <v>587</v>
      </c>
      <c r="T42" s="221">
        <f>ROUND(553*Belarus*(1-C82),2)</f>
        <v>553</v>
      </c>
      <c r="U42" s="221">
        <f>ROUND(379*Belarus*(1-C82),2)</f>
        <v>379</v>
      </c>
      <c r="V42" s="2437" t="s">
        <v>369</v>
      </c>
      <c r="W42" s="2437"/>
      <c r="X42" s="2437"/>
      <c r="Y42" s="2437"/>
      <c r="Z42" s="221" t="s">
        <v>369</v>
      </c>
      <c r="AA42" s="221" t="s">
        <v>369</v>
      </c>
      <c r="AB42" s="221" t="s">
        <v>369</v>
      </c>
      <c r="AC42" s="221" t="s">
        <v>369</v>
      </c>
      <c r="AD42" s="221" t="s">
        <v>369</v>
      </c>
    </row>
    <row r="43" spans="1:30" ht="18.75" customHeight="1">
      <c r="A43" s="122" t="s">
        <v>2632</v>
      </c>
      <c r="B43" s="480">
        <v>3.05</v>
      </c>
      <c r="C43" s="480" t="s">
        <v>369</v>
      </c>
      <c r="D43" s="480" t="s">
        <v>369</v>
      </c>
      <c r="E43" s="48">
        <v>12</v>
      </c>
      <c r="F43" s="89" t="s">
        <v>845</v>
      </c>
      <c r="G43" s="219">
        <f>ROUND(546*Belarus*(1-C82),2)</f>
        <v>546</v>
      </c>
      <c r="H43" s="219" t="s">
        <v>369</v>
      </c>
      <c r="I43" s="219" t="s">
        <v>369</v>
      </c>
      <c r="J43" s="219" t="s">
        <v>369</v>
      </c>
      <c r="K43" s="219" t="s">
        <v>369</v>
      </c>
      <c r="L43" s="219" t="s">
        <v>369</v>
      </c>
      <c r="M43" s="219" t="s">
        <v>369</v>
      </c>
      <c r="N43" s="219" t="s">
        <v>369</v>
      </c>
      <c r="O43" s="219" t="s">
        <v>369</v>
      </c>
      <c r="P43" s="2437" t="s">
        <v>369</v>
      </c>
      <c r="Q43" s="2437"/>
      <c r="R43" s="481" t="s">
        <v>369</v>
      </c>
      <c r="S43" s="481">
        <f>ROUND(587*Belarus*(1-C82),2)</f>
        <v>587</v>
      </c>
      <c r="T43" s="221">
        <f>ROUND(685*Belarus*(1-C82),2)</f>
        <v>685</v>
      </c>
      <c r="U43" s="221">
        <f>ROUND(493*Belarus*(1-C82),2)</f>
        <v>493</v>
      </c>
      <c r="V43" s="2437" t="s">
        <v>369</v>
      </c>
      <c r="W43" s="2437"/>
      <c r="X43" s="2437"/>
      <c r="Y43" s="2437"/>
      <c r="Z43" s="221" t="s">
        <v>369</v>
      </c>
      <c r="AA43" s="221" t="s">
        <v>369</v>
      </c>
      <c r="AB43" s="221" t="s">
        <v>369</v>
      </c>
      <c r="AC43" s="221" t="s">
        <v>369</v>
      </c>
      <c r="AD43" s="221" t="s">
        <v>369</v>
      </c>
    </row>
    <row r="44" spans="1:30" ht="18.75" customHeight="1">
      <c r="A44" s="122" t="s">
        <v>2633</v>
      </c>
      <c r="B44" s="480">
        <v>3</v>
      </c>
      <c r="C44" s="480" t="s">
        <v>369</v>
      </c>
      <c r="D44" s="480" t="s">
        <v>369</v>
      </c>
      <c r="E44" s="48">
        <v>36</v>
      </c>
      <c r="F44" s="89" t="s">
        <v>845</v>
      </c>
      <c r="G44" s="219">
        <f>ROUND(420*Belarus*(1-C82),2)</f>
        <v>420</v>
      </c>
      <c r="H44" s="219" t="s">
        <v>369</v>
      </c>
      <c r="I44" s="219" t="s">
        <v>369</v>
      </c>
      <c r="J44" s="219" t="s">
        <v>369</v>
      </c>
      <c r="K44" s="219" t="s">
        <v>369</v>
      </c>
      <c r="L44" s="219" t="s">
        <v>369</v>
      </c>
      <c r="M44" s="219" t="s">
        <v>369</v>
      </c>
      <c r="N44" s="219" t="s">
        <v>369</v>
      </c>
      <c r="O44" s="219" t="s">
        <v>369</v>
      </c>
      <c r="P44" s="2437" t="s">
        <v>369</v>
      </c>
      <c r="Q44" s="2437"/>
      <c r="R44" s="481" t="s">
        <v>369</v>
      </c>
      <c r="S44" s="481">
        <f>ROUND(399*Belarus*(1-C82),2)</f>
        <v>399</v>
      </c>
      <c r="T44" s="2438" t="s">
        <v>369</v>
      </c>
      <c r="U44" s="2438"/>
      <c r="V44" s="2437" t="s">
        <v>369</v>
      </c>
      <c r="W44" s="2437"/>
      <c r="X44" s="2437"/>
      <c r="Y44" s="2437"/>
      <c r="Z44" s="221" t="s">
        <v>369</v>
      </c>
      <c r="AA44" s="221" t="s">
        <v>369</v>
      </c>
      <c r="AB44" s="221" t="s">
        <v>369</v>
      </c>
      <c r="AC44" s="221" t="s">
        <v>369</v>
      </c>
      <c r="AD44" s="221" t="s">
        <v>369</v>
      </c>
    </row>
    <row r="45" spans="1:30" ht="18.75" customHeight="1">
      <c r="A45" s="122" t="s">
        <v>2634</v>
      </c>
      <c r="B45" s="480">
        <v>3</v>
      </c>
      <c r="C45" s="480" t="s">
        <v>369</v>
      </c>
      <c r="D45" s="480" t="s">
        <v>369</v>
      </c>
      <c r="E45" s="48">
        <v>60</v>
      </c>
      <c r="F45" s="89" t="s">
        <v>845</v>
      </c>
      <c r="G45" s="219">
        <f>ROUND(233*Belarus*(1-C82),2)</f>
        <v>233</v>
      </c>
      <c r="H45" s="219" t="s">
        <v>369</v>
      </c>
      <c r="I45" s="219" t="s">
        <v>369</v>
      </c>
      <c r="J45" s="219" t="s">
        <v>369</v>
      </c>
      <c r="K45" s="219" t="s">
        <v>369</v>
      </c>
      <c r="L45" s="219" t="s">
        <v>369</v>
      </c>
      <c r="M45" s="219" t="s">
        <v>369</v>
      </c>
      <c r="N45" s="219" t="s">
        <v>369</v>
      </c>
      <c r="O45" s="219" t="s">
        <v>369</v>
      </c>
      <c r="P45" s="2437" t="s">
        <v>369</v>
      </c>
      <c r="Q45" s="2437"/>
      <c r="R45" s="481" t="s">
        <v>369</v>
      </c>
      <c r="S45" s="481" t="s">
        <v>369</v>
      </c>
      <c r="T45" s="2438" t="s">
        <v>369</v>
      </c>
      <c r="U45" s="2438"/>
      <c r="V45" s="2437" t="s">
        <v>369</v>
      </c>
      <c r="W45" s="2437"/>
      <c r="X45" s="2437"/>
      <c r="Y45" s="2437"/>
      <c r="Z45" s="221" t="s">
        <v>369</v>
      </c>
      <c r="AA45" s="221" t="s">
        <v>369</v>
      </c>
      <c r="AB45" s="221" t="s">
        <v>369</v>
      </c>
      <c r="AC45" s="221" t="s">
        <v>369</v>
      </c>
      <c r="AD45" s="221" t="s">
        <v>369</v>
      </c>
    </row>
    <row r="46" spans="1:30" s="54" customFormat="1">
      <c r="A46" s="127"/>
      <c r="B46" s="875"/>
      <c r="C46" s="875"/>
      <c r="D46" s="875"/>
      <c r="E46" s="876"/>
      <c r="F46" s="76"/>
      <c r="G46" s="877"/>
      <c r="H46" s="877"/>
      <c r="I46" s="877"/>
      <c r="J46" s="877"/>
      <c r="K46" s="877"/>
      <c r="L46" s="877"/>
      <c r="M46" s="877"/>
      <c r="N46" s="877"/>
      <c r="O46" s="877"/>
      <c r="P46" s="877"/>
      <c r="Q46" s="877"/>
      <c r="R46" s="877"/>
      <c r="S46" s="877"/>
      <c r="T46" s="877"/>
      <c r="U46" s="877"/>
      <c r="V46" s="877"/>
      <c r="W46" s="877"/>
      <c r="X46" s="877"/>
      <c r="Y46" s="877"/>
      <c r="Z46" s="877"/>
      <c r="AA46" s="877"/>
      <c r="AB46" s="877"/>
      <c r="AC46" s="877"/>
      <c r="AD46" s="877"/>
    </row>
    <row r="47" spans="1:30" s="54" customFormat="1">
      <c r="A47" s="127"/>
      <c r="B47" s="875"/>
      <c r="C47" s="875"/>
      <c r="D47" s="875"/>
      <c r="E47" s="876"/>
      <c r="F47" s="76"/>
      <c r="G47" s="877"/>
      <c r="H47" s="877"/>
      <c r="I47" s="877"/>
      <c r="J47" s="877"/>
      <c r="K47" s="877"/>
      <c r="L47" s="877"/>
      <c r="M47" s="877"/>
      <c r="N47" s="877"/>
      <c r="O47" s="877"/>
      <c r="P47" s="877"/>
      <c r="Q47" s="877"/>
      <c r="R47" s="877"/>
      <c r="S47" s="877"/>
      <c r="T47" s="877"/>
      <c r="U47" s="877"/>
      <c r="V47" s="877"/>
      <c r="W47" s="877"/>
      <c r="X47" s="877"/>
      <c r="Y47" s="877"/>
      <c r="Z47" s="877"/>
      <c r="AA47" s="877"/>
      <c r="AB47" s="877"/>
      <c r="AC47" s="877"/>
      <c r="AD47" s="877"/>
    </row>
    <row r="48" spans="1:30" s="54" customFormat="1" ht="18.75" customHeight="1" thickBot="1">
      <c r="A48" s="1507" t="s">
        <v>171</v>
      </c>
      <c r="B48" s="1507"/>
      <c r="C48" s="1507"/>
      <c r="D48" s="1507"/>
      <c r="E48" s="1507"/>
      <c r="F48" s="1507"/>
      <c r="G48" s="1507"/>
      <c r="H48" s="1507"/>
      <c r="I48" s="1507"/>
      <c r="J48" s="877"/>
      <c r="K48" s="877"/>
      <c r="L48" s="877"/>
      <c r="M48" s="2433" t="s">
        <v>575</v>
      </c>
      <c r="N48" s="2433"/>
      <c r="O48" s="2433"/>
      <c r="P48" s="2433"/>
      <c r="Q48" s="2433"/>
      <c r="R48" s="2433"/>
      <c r="S48" s="2433"/>
      <c r="T48" s="2433"/>
      <c r="U48" s="2433"/>
      <c r="V48" s="2433"/>
      <c r="W48" s="2433"/>
      <c r="X48" s="2433"/>
      <c r="Y48" s="2433"/>
      <c r="Z48" s="2433"/>
      <c r="AA48" s="2433"/>
      <c r="AB48" s="2433"/>
      <c r="AC48" s="2433"/>
      <c r="AD48" s="2433"/>
    </row>
    <row r="49" spans="1:30" s="54" customFormat="1" ht="18.75" customHeight="1">
      <c r="A49" s="1086" t="s">
        <v>307</v>
      </c>
      <c r="B49" s="2434" t="s">
        <v>562</v>
      </c>
      <c r="C49" s="2434"/>
      <c r="D49" s="2434" t="s">
        <v>284</v>
      </c>
      <c r="E49" s="2434"/>
      <c r="F49" s="2435" t="s">
        <v>559</v>
      </c>
      <c r="G49" s="2435"/>
      <c r="H49" s="2435" t="s">
        <v>527</v>
      </c>
      <c r="I49" s="2435"/>
      <c r="K49" s="877"/>
      <c r="L49" s="877"/>
      <c r="M49" s="1567" t="s">
        <v>4236</v>
      </c>
      <c r="N49" s="1567"/>
      <c r="O49" s="1567"/>
      <c r="P49" s="1567"/>
      <c r="Q49" s="1567"/>
      <c r="R49" s="1567" t="s">
        <v>2639</v>
      </c>
      <c r="S49" s="1567"/>
      <c r="T49" s="1567"/>
      <c r="U49" s="1567"/>
      <c r="V49" s="1567"/>
      <c r="W49" s="1567"/>
      <c r="X49" s="1567"/>
      <c r="Y49" s="1567"/>
      <c r="Z49" s="1567"/>
      <c r="AA49" s="1567"/>
      <c r="AB49" s="1567"/>
      <c r="AC49" s="2436" t="s">
        <v>624</v>
      </c>
      <c r="AD49" s="2436"/>
    </row>
    <row r="50" spans="1:30" s="54" customFormat="1" ht="18.75" customHeight="1">
      <c r="A50" s="1995" t="s">
        <v>4237</v>
      </c>
      <c r="B50" s="2426" t="s">
        <v>4238</v>
      </c>
      <c r="C50" s="2426"/>
      <c r="D50" s="2431" t="s">
        <v>566</v>
      </c>
      <c r="E50" s="2432"/>
      <c r="F50" s="1540">
        <f>ROUND(358*Belarus*(1-C77),2)</f>
        <v>358</v>
      </c>
      <c r="G50" s="1541"/>
      <c r="H50" s="2426">
        <f>F50/(0.246*3)</f>
        <v>485.09485094850947</v>
      </c>
      <c r="I50" s="2426"/>
      <c r="K50" s="877"/>
      <c r="L50" s="877"/>
      <c r="M50" s="2425" t="s">
        <v>2640</v>
      </c>
      <c r="N50" s="2425"/>
      <c r="O50" s="2425"/>
      <c r="P50" s="2425"/>
      <c r="Q50" s="2425"/>
      <c r="R50" s="2425" t="s">
        <v>4239</v>
      </c>
      <c r="S50" s="2425"/>
      <c r="T50" s="2425"/>
      <c r="U50" s="2425"/>
      <c r="V50" s="2425"/>
      <c r="W50" s="2425"/>
      <c r="X50" s="2425"/>
      <c r="Y50" s="2425"/>
      <c r="Z50" s="2425"/>
      <c r="AA50" s="2425"/>
      <c r="AB50" s="2425"/>
      <c r="AC50" s="1572">
        <f>2600*Belarus</f>
        <v>2600</v>
      </c>
      <c r="AD50" s="1572"/>
    </row>
    <row r="51" spans="1:30" s="54" customFormat="1" ht="18.75" customHeight="1">
      <c r="A51" s="2001"/>
      <c r="B51" s="2426"/>
      <c r="C51" s="2426"/>
      <c r="D51" s="2431" t="s">
        <v>568</v>
      </c>
      <c r="E51" s="2432"/>
      <c r="F51" s="1540">
        <f>ROUND(412*Belarus*(1-C77),2)</f>
        <v>412</v>
      </c>
      <c r="G51" s="1541"/>
      <c r="H51" s="2426">
        <f>F51/(0.246*3)</f>
        <v>558.26558265582662</v>
      </c>
      <c r="I51" s="2426"/>
      <c r="K51" s="877"/>
      <c r="L51" s="877"/>
      <c r="M51" s="2425" t="s">
        <v>2641</v>
      </c>
      <c r="N51" s="2425"/>
      <c r="O51" s="2425"/>
      <c r="P51" s="2425"/>
      <c r="Q51" s="2425"/>
      <c r="R51" s="2425" t="s">
        <v>4240</v>
      </c>
      <c r="S51" s="2425"/>
      <c r="T51" s="2425"/>
      <c r="U51" s="2425"/>
      <c r="V51" s="2425"/>
      <c r="W51" s="2425"/>
      <c r="X51" s="2425"/>
      <c r="Y51" s="2425"/>
      <c r="Z51" s="2425"/>
      <c r="AA51" s="2425"/>
      <c r="AB51" s="2425"/>
      <c r="AC51" s="1572">
        <f>5400*Belarus</f>
        <v>5400</v>
      </c>
      <c r="AD51" s="1572"/>
    </row>
    <row r="52" spans="1:30" s="54" customFormat="1" ht="18.75" customHeight="1">
      <c r="A52" s="1995" t="s">
        <v>4241</v>
      </c>
      <c r="B52" s="2426" t="s">
        <v>4242</v>
      </c>
      <c r="C52" s="2426"/>
      <c r="D52" s="2431" t="s">
        <v>566</v>
      </c>
      <c r="E52" s="2432"/>
      <c r="F52" s="1540">
        <f>ROUND(358*Belarus*(1-C78),2)</f>
        <v>358</v>
      </c>
      <c r="G52" s="1541"/>
      <c r="H52" s="2426">
        <f>F52/(0.303*3)</f>
        <v>393.83938393839384</v>
      </c>
      <c r="I52" s="2426"/>
      <c r="K52" s="877"/>
      <c r="L52" s="877"/>
      <c r="M52" s="2425" t="s">
        <v>2642</v>
      </c>
      <c r="N52" s="2425"/>
      <c r="O52" s="2425"/>
      <c r="P52" s="2425"/>
      <c r="Q52" s="2425"/>
      <c r="R52" s="2425" t="s">
        <v>4243</v>
      </c>
      <c r="S52" s="2425"/>
      <c r="T52" s="2425"/>
      <c r="U52" s="2425"/>
      <c r="V52" s="2425"/>
      <c r="W52" s="2425"/>
      <c r="X52" s="2425"/>
      <c r="Y52" s="2425"/>
      <c r="Z52" s="2425"/>
      <c r="AA52" s="2425"/>
      <c r="AB52" s="2425"/>
      <c r="AC52" s="1572">
        <f>800*Belarus</f>
        <v>800</v>
      </c>
      <c r="AD52" s="1572"/>
    </row>
    <row r="53" spans="1:30" s="54" customFormat="1" ht="18.75" customHeight="1">
      <c r="A53" s="2001"/>
      <c r="B53" s="2426"/>
      <c r="C53" s="2426"/>
      <c r="D53" s="2431" t="s">
        <v>568</v>
      </c>
      <c r="E53" s="2432"/>
      <c r="F53" s="1540">
        <f>ROUND(412*Belarus*(1-C78),2)</f>
        <v>412</v>
      </c>
      <c r="G53" s="1541"/>
      <c r="H53" s="2426">
        <f>F53/(0.303*3)</f>
        <v>453.24532453245325</v>
      </c>
      <c r="I53" s="2426"/>
      <c r="K53" s="877"/>
      <c r="L53" s="877"/>
      <c r="M53" s="2425" t="s">
        <v>4244</v>
      </c>
      <c r="N53" s="2425"/>
      <c r="O53" s="2425"/>
      <c r="P53" s="2425"/>
      <c r="Q53" s="2425"/>
      <c r="R53" s="2425" t="s">
        <v>4245</v>
      </c>
      <c r="S53" s="2425"/>
      <c r="T53" s="2425"/>
      <c r="U53" s="2425"/>
      <c r="V53" s="2425"/>
      <c r="W53" s="2425"/>
      <c r="X53" s="2425"/>
      <c r="Y53" s="2425"/>
      <c r="Z53" s="2425"/>
      <c r="AA53" s="2425"/>
      <c r="AB53" s="2425"/>
      <c r="AC53" s="1572">
        <f>650*Belarus</f>
        <v>650</v>
      </c>
      <c r="AD53" s="1572"/>
    </row>
    <row r="54" spans="1:30" s="54" customFormat="1" ht="18.75" customHeight="1">
      <c r="A54" s="124" t="s">
        <v>4246</v>
      </c>
      <c r="B54" s="2426" t="s">
        <v>4242</v>
      </c>
      <c r="C54" s="2426"/>
      <c r="D54" s="2426" t="s">
        <v>4247</v>
      </c>
      <c r="E54" s="2426"/>
      <c r="F54" s="1540">
        <f>ROUND(638*Belarus*(1-C78),2)</f>
        <v>638</v>
      </c>
      <c r="G54" s="1541"/>
      <c r="H54" s="2426">
        <f>F54/(0.303*3)</f>
        <v>701.87018701870181</v>
      </c>
      <c r="I54" s="2426"/>
      <c r="K54" s="877"/>
      <c r="L54" s="877"/>
      <c r="M54" s="2425" t="s">
        <v>2643</v>
      </c>
      <c r="N54" s="2425"/>
      <c r="O54" s="2425"/>
      <c r="P54" s="2425"/>
      <c r="Q54" s="2425"/>
      <c r="R54" s="2425" t="s">
        <v>4248</v>
      </c>
      <c r="S54" s="2425"/>
      <c r="T54" s="2425"/>
      <c r="U54" s="2425"/>
      <c r="V54" s="2425"/>
      <c r="W54" s="2425"/>
      <c r="X54" s="2425"/>
      <c r="Y54" s="2425"/>
      <c r="Z54" s="2425"/>
      <c r="AA54" s="2425"/>
      <c r="AB54" s="2425"/>
      <c r="AC54" s="1572" t="str">
        <f>(60*Belarus)&amp;" / "&amp;(65*Belarus)&amp;" / "&amp;(70*Belarus)</f>
        <v>60 / 65 / 70</v>
      </c>
      <c r="AD54" s="1572"/>
    </row>
    <row r="55" spans="1:30" s="54" customFormat="1" ht="18.75" customHeight="1">
      <c r="A55" s="1995" t="s">
        <v>4249</v>
      </c>
      <c r="B55" s="2426" t="s">
        <v>4250</v>
      </c>
      <c r="C55" s="2426"/>
      <c r="D55" s="2431" t="s">
        <v>566</v>
      </c>
      <c r="E55" s="2432"/>
      <c r="F55" s="1540">
        <f>ROUND(271*Belarus*(1-C79),2)</f>
        <v>271</v>
      </c>
      <c r="G55" s="1541"/>
      <c r="H55" s="2426">
        <f>F55/(0.229*3)</f>
        <v>394.4687045123726</v>
      </c>
      <c r="I55" s="2426"/>
      <c r="K55" s="877"/>
      <c r="L55" s="877"/>
      <c r="M55" s="2425" t="s">
        <v>2644</v>
      </c>
      <c r="N55" s="2425"/>
      <c r="O55" s="2425"/>
      <c r="P55" s="2425"/>
      <c r="Q55" s="2425"/>
      <c r="R55" s="2425" t="s">
        <v>4251</v>
      </c>
      <c r="S55" s="2425"/>
      <c r="T55" s="2425"/>
      <c r="U55" s="2425"/>
      <c r="V55" s="2425"/>
      <c r="W55" s="2425"/>
      <c r="X55" s="2425"/>
      <c r="Y55" s="2425"/>
      <c r="Z55" s="2425"/>
      <c r="AA55" s="2425"/>
      <c r="AB55" s="2425"/>
      <c r="AC55" s="1572" t="str">
        <f>"35 м² - "&amp;(689*Belarus)&amp;"   
"&amp;"70 м² - "&amp;(1353*Belarus)</f>
        <v>35 м² - 689   
70 м² - 1353</v>
      </c>
      <c r="AD55" s="1572"/>
    </row>
    <row r="56" spans="1:30" s="54" customFormat="1" ht="18.75" customHeight="1">
      <c r="A56" s="2001"/>
      <c r="B56" s="2426"/>
      <c r="C56" s="2426"/>
      <c r="D56" s="2431" t="s">
        <v>568</v>
      </c>
      <c r="E56" s="2432"/>
      <c r="F56" s="1540">
        <f>ROUND(311*Belarus*(1-C79),2)</f>
        <v>311</v>
      </c>
      <c r="G56" s="1541"/>
      <c r="H56" s="2426">
        <f>F56/(0.229*3)</f>
        <v>452.69286754002906</v>
      </c>
      <c r="I56" s="2426"/>
      <c r="K56" s="877"/>
      <c r="L56" s="877"/>
      <c r="M56" s="2425" t="s">
        <v>2645</v>
      </c>
      <c r="N56" s="2425"/>
      <c r="O56" s="2425"/>
      <c r="P56" s="2425"/>
      <c r="Q56" s="2425"/>
      <c r="R56" s="2425" t="s">
        <v>4253</v>
      </c>
      <c r="S56" s="2425"/>
      <c r="T56" s="2425"/>
      <c r="U56" s="2425"/>
      <c r="V56" s="2425"/>
      <c r="W56" s="2425"/>
      <c r="X56" s="2425"/>
      <c r="Y56" s="2425"/>
      <c r="Z56" s="2425"/>
      <c r="AA56" s="2425"/>
      <c r="AB56" s="2425"/>
      <c r="AC56" s="1572">
        <f>2500*Belarus</f>
        <v>2500</v>
      </c>
      <c r="AD56" s="1572"/>
    </row>
    <row r="57" spans="1:30" s="54" customFormat="1" ht="18.75" customHeight="1">
      <c r="A57" s="1868" t="s">
        <v>4252</v>
      </c>
      <c r="B57" s="1562" t="s">
        <v>4242</v>
      </c>
      <c r="C57" s="1562"/>
      <c r="D57" s="2427" t="s">
        <v>568</v>
      </c>
      <c r="E57" s="2428"/>
      <c r="F57" s="1540">
        <f>ROUND(349*Belarus*(1-C80),2)</f>
        <v>349</v>
      </c>
      <c r="G57" s="1541"/>
      <c r="H57" s="1562">
        <f>F57/(0.303*3)</f>
        <v>383.93839383938393</v>
      </c>
      <c r="I57" s="1562"/>
      <c r="K57" s="877"/>
      <c r="L57" s="877"/>
      <c r="M57" s="2425" t="s">
        <v>2646</v>
      </c>
      <c r="N57" s="2425"/>
      <c r="O57" s="2425"/>
      <c r="P57" s="2425"/>
      <c r="Q57" s="2425"/>
      <c r="R57" s="2425" t="s">
        <v>4254</v>
      </c>
      <c r="S57" s="2425"/>
      <c r="T57" s="2425"/>
      <c r="U57" s="2425"/>
      <c r="V57" s="2425"/>
      <c r="W57" s="2425"/>
      <c r="X57" s="2425"/>
      <c r="Y57" s="2425"/>
      <c r="Z57" s="2425"/>
      <c r="AA57" s="2425"/>
      <c r="AB57" s="2425"/>
      <c r="AC57" s="1572">
        <f>1560*Belarus</f>
        <v>1560</v>
      </c>
      <c r="AD57" s="1572"/>
    </row>
    <row r="58" spans="1:30" s="54" customFormat="1" ht="18.75" customHeight="1">
      <c r="A58" s="1869"/>
      <c r="B58" s="1562" t="s">
        <v>4487</v>
      </c>
      <c r="C58" s="1562"/>
      <c r="D58" s="2429"/>
      <c r="E58" s="2430"/>
      <c r="F58" s="1540">
        <f>ROUND(175*Belarus*(1-C80),2)</f>
        <v>175</v>
      </c>
      <c r="G58" s="1541"/>
      <c r="H58" s="1562">
        <f>F58/(0.303*1.5)</f>
        <v>385.03850385038504</v>
      </c>
      <c r="I58" s="1562"/>
      <c r="K58" s="877"/>
      <c r="L58" s="877"/>
    </row>
    <row r="59" spans="1:30" s="54" customFormat="1" ht="18.75" customHeight="1">
      <c r="A59" s="2212" t="s">
        <v>4255</v>
      </c>
      <c r="B59" s="2212"/>
      <c r="C59" s="2212"/>
      <c r="D59" s="2212"/>
      <c r="E59" s="2212"/>
      <c r="F59" s="2212"/>
      <c r="G59" s="2212"/>
      <c r="H59" s="2212"/>
      <c r="I59" s="2212"/>
      <c r="J59" s="878"/>
      <c r="K59" s="877"/>
      <c r="L59" s="877"/>
      <c r="M59" s="877"/>
      <c r="N59" s="877"/>
      <c r="O59" s="877"/>
      <c r="P59" s="877"/>
      <c r="Q59" s="877"/>
      <c r="R59" s="877"/>
      <c r="S59" s="877"/>
      <c r="T59" s="877"/>
      <c r="U59" s="877"/>
      <c r="V59" s="877"/>
      <c r="W59" s="877"/>
      <c r="X59" s="877"/>
      <c r="Y59" s="877"/>
      <c r="Z59" s="877"/>
      <c r="AA59" s="877"/>
      <c r="AB59" s="46"/>
      <c r="AC59" s="877"/>
      <c r="AD59" s="877"/>
    </row>
    <row r="60" spans="1:30" ht="15.75" customHeight="1"/>
    <row r="61" spans="1:30">
      <c r="A61" s="1491" t="s">
        <v>420</v>
      </c>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row>
    <row r="62" spans="1:30">
      <c r="A62" s="2418" t="s">
        <v>2647</v>
      </c>
      <c r="B62" s="2418"/>
      <c r="C62" s="2418"/>
      <c r="D62" s="2418"/>
      <c r="E62" s="2418"/>
      <c r="F62" s="2418"/>
      <c r="G62" s="2418"/>
      <c r="H62" s="2418"/>
      <c r="I62" s="2418"/>
      <c r="J62" s="2418"/>
      <c r="K62" s="2418"/>
      <c r="L62" s="2418"/>
      <c r="M62" s="1428" t="s">
        <v>2650</v>
      </c>
      <c r="N62" s="1588"/>
      <c r="O62" s="1588"/>
      <c r="P62" s="1588"/>
      <c r="Q62" s="1588"/>
      <c r="R62" s="1588"/>
      <c r="S62" s="1588"/>
      <c r="T62" s="1588"/>
      <c r="U62" s="1588"/>
      <c r="V62" s="1588"/>
      <c r="W62" s="1588"/>
      <c r="X62" s="1588"/>
      <c r="Y62" s="1588"/>
      <c r="Z62" s="1588"/>
      <c r="AA62" s="1588"/>
      <c r="AB62" s="1588"/>
      <c r="AC62" s="1588"/>
      <c r="AD62" s="1589"/>
    </row>
    <row r="63" spans="1:30" ht="12.75" customHeight="1">
      <c r="A63" s="1428" t="s">
        <v>2648</v>
      </c>
      <c r="B63" s="1588"/>
      <c r="C63" s="1588"/>
      <c r="D63" s="1588"/>
      <c r="E63" s="1588"/>
      <c r="F63" s="1588"/>
      <c r="G63" s="1588"/>
      <c r="H63" s="1588"/>
      <c r="I63" s="1588"/>
      <c r="J63" s="1588"/>
      <c r="K63" s="1588"/>
      <c r="L63" s="1589"/>
      <c r="M63" s="2419" t="s">
        <v>2651</v>
      </c>
      <c r="N63" s="2420"/>
      <c r="O63" s="2420"/>
      <c r="P63" s="2420"/>
      <c r="Q63" s="2420"/>
      <c r="R63" s="2420"/>
      <c r="S63" s="2420"/>
      <c r="T63" s="2420"/>
      <c r="U63" s="2420"/>
      <c r="V63" s="2420"/>
      <c r="W63" s="2420"/>
      <c r="X63" s="2420"/>
      <c r="Y63" s="2420"/>
      <c r="Z63" s="2420"/>
      <c r="AA63" s="2420"/>
      <c r="AB63" s="2420"/>
      <c r="AC63" s="2420"/>
      <c r="AD63" s="2421"/>
    </row>
    <row r="64" spans="1:30">
      <c r="A64" s="1532" t="s">
        <v>4256</v>
      </c>
      <c r="B64" s="1532"/>
      <c r="C64" s="1532"/>
      <c r="D64" s="1532"/>
      <c r="E64" s="1532"/>
      <c r="F64" s="1532"/>
      <c r="G64" s="1532"/>
      <c r="H64" s="1532"/>
      <c r="I64" s="1532"/>
      <c r="J64" s="1532"/>
      <c r="K64" s="1532"/>
      <c r="L64" s="1532"/>
      <c r="M64" s="2422"/>
      <c r="N64" s="2423"/>
      <c r="O64" s="2423"/>
      <c r="P64" s="2423"/>
      <c r="Q64" s="2423"/>
      <c r="R64" s="2423"/>
      <c r="S64" s="2423"/>
      <c r="T64" s="2423"/>
      <c r="U64" s="2423"/>
      <c r="V64" s="2423"/>
      <c r="W64" s="2423"/>
      <c r="X64" s="2423"/>
      <c r="Y64" s="2423"/>
      <c r="Z64" s="2423"/>
      <c r="AA64" s="2423"/>
      <c r="AB64" s="2423"/>
      <c r="AC64" s="2423"/>
      <c r="AD64" s="2424"/>
    </row>
    <row r="65" spans="1:30" ht="12.75" customHeight="1">
      <c r="A65" s="1532" t="s">
        <v>2649</v>
      </c>
      <c r="B65" s="1532"/>
      <c r="C65" s="1532"/>
      <c r="D65" s="1532"/>
      <c r="E65" s="1532"/>
      <c r="F65" s="1532"/>
      <c r="G65" s="1532"/>
      <c r="H65" s="1532"/>
      <c r="I65" s="1532"/>
      <c r="J65" s="1532"/>
      <c r="K65" s="1532"/>
      <c r="L65" s="1532"/>
      <c r="M65" s="1428" t="s">
        <v>2106</v>
      </c>
      <c r="N65" s="1588"/>
      <c r="O65" s="1588"/>
      <c r="P65" s="1588"/>
      <c r="Q65" s="1588"/>
      <c r="R65" s="1588"/>
      <c r="S65" s="1588"/>
      <c r="T65" s="1588"/>
      <c r="U65" s="1588"/>
      <c r="V65" s="1588"/>
      <c r="W65" s="1588"/>
      <c r="X65" s="1588"/>
      <c r="Y65" s="1588"/>
      <c r="Z65" s="1588"/>
      <c r="AA65" s="1588"/>
      <c r="AB65" s="1588"/>
      <c r="AC65" s="1588"/>
      <c r="AD65" s="1589"/>
    </row>
    <row r="69" spans="1:30">
      <c r="A69" s="1508" t="s">
        <v>508</v>
      </c>
      <c r="B69" s="1510"/>
      <c r="C69" s="1888" t="s">
        <v>2652</v>
      </c>
      <c r="D69" s="1888" t="s">
        <v>2653</v>
      </c>
      <c r="E69" s="1888" t="s">
        <v>2654</v>
      </c>
      <c r="F69" s="1888" t="s">
        <v>2655</v>
      </c>
    </row>
    <row r="70" spans="1:30">
      <c r="A70" s="1511"/>
      <c r="B70" s="1513"/>
      <c r="C70" s="1889"/>
      <c r="D70" s="1889"/>
      <c r="E70" s="1889"/>
      <c r="F70" s="1889"/>
    </row>
    <row r="71" spans="1:30">
      <c r="A71" s="2417" t="s">
        <v>2656</v>
      </c>
      <c r="B71" s="2417"/>
      <c r="C71" s="129">
        <v>0</v>
      </c>
      <c r="D71" s="129">
        <v>0</v>
      </c>
      <c r="E71" s="129">
        <v>0</v>
      </c>
      <c r="F71" s="129" t="s">
        <v>369</v>
      </c>
    </row>
    <row r="72" spans="1:30">
      <c r="A72" s="2417" t="s">
        <v>2657</v>
      </c>
      <c r="B72" s="2417"/>
      <c r="C72" s="129">
        <v>0</v>
      </c>
      <c r="D72" s="129">
        <v>0</v>
      </c>
      <c r="E72" s="129">
        <v>0</v>
      </c>
      <c r="F72" s="129" t="s">
        <v>369</v>
      </c>
    </row>
    <row r="73" spans="1:30">
      <c r="A73" s="2417" t="s">
        <v>2658</v>
      </c>
      <c r="B73" s="2417"/>
      <c r="C73" s="129" t="s">
        <v>369</v>
      </c>
      <c r="D73" s="129" t="s">
        <v>369</v>
      </c>
      <c r="E73" s="129" t="s">
        <v>369</v>
      </c>
      <c r="F73" s="129">
        <v>0</v>
      </c>
    </row>
    <row r="74" spans="1:30">
      <c r="A74" s="2417" t="s">
        <v>2659</v>
      </c>
      <c r="B74" s="2417"/>
      <c r="C74" s="129">
        <v>0</v>
      </c>
      <c r="D74" s="129">
        <v>0</v>
      </c>
      <c r="E74" s="129">
        <v>0</v>
      </c>
      <c r="F74" s="129" t="s">
        <v>369</v>
      </c>
    </row>
    <row r="75" spans="1:30">
      <c r="A75" s="2417" t="s">
        <v>2660</v>
      </c>
      <c r="B75" s="2417"/>
      <c r="C75" s="129">
        <v>0</v>
      </c>
      <c r="D75" s="129" t="s">
        <v>369</v>
      </c>
      <c r="E75" s="129" t="s">
        <v>369</v>
      </c>
      <c r="F75" s="129" t="s">
        <v>369</v>
      </c>
    </row>
    <row r="76" spans="1:30">
      <c r="A76" s="2417" t="s">
        <v>2661</v>
      </c>
      <c r="B76" s="2417"/>
      <c r="C76" s="129" t="s">
        <v>369</v>
      </c>
      <c r="D76" s="129">
        <v>0</v>
      </c>
      <c r="E76" s="129">
        <v>0</v>
      </c>
      <c r="F76" s="129" t="s">
        <v>369</v>
      </c>
    </row>
    <row r="77" spans="1:30">
      <c r="A77" s="2417" t="s">
        <v>2662</v>
      </c>
      <c r="B77" s="2417"/>
      <c r="C77" s="1331">
        <v>0</v>
      </c>
      <c r="D77" s="1331"/>
      <c r="E77" s="1331"/>
      <c r="F77" s="1331"/>
    </row>
    <row r="78" spans="1:30">
      <c r="A78" s="2417" t="s">
        <v>2663</v>
      </c>
      <c r="B78" s="2417"/>
      <c r="C78" s="1331">
        <v>0</v>
      </c>
      <c r="D78" s="1331"/>
      <c r="E78" s="1331"/>
      <c r="F78" s="1331"/>
    </row>
    <row r="79" spans="1:30">
      <c r="A79" s="2417" t="s">
        <v>2664</v>
      </c>
      <c r="B79" s="2417"/>
      <c r="C79" s="1331">
        <v>0</v>
      </c>
      <c r="D79" s="1331"/>
      <c r="E79" s="1331"/>
      <c r="F79" s="1331"/>
    </row>
    <row r="80" spans="1:30">
      <c r="A80" s="2415" t="s">
        <v>4257</v>
      </c>
      <c r="B80" s="2416"/>
      <c r="C80" s="1331">
        <v>0</v>
      </c>
      <c r="D80" s="1331"/>
      <c r="E80" s="1331"/>
      <c r="F80" s="1331"/>
    </row>
    <row r="81" spans="1:6">
      <c r="A81" s="2417" t="s">
        <v>2665</v>
      </c>
      <c r="B81" s="2417"/>
      <c r="C81" s="1331">
        <v>0</v>
      </c>
      <c r="D81" s="1331"/>
      <c r="E81" s="1331"/>
      <c r="F81" s="1331"/>
    </row>
    <row r="82" spans="1:6">
      <c r="A82" s="2417" t="s">
        <v>752</v>
      </c>
      <c r="B82" s="2417"/>
      <c r="C82" s="1331">
        <v>0</v>
      </c>
      <c r="D82" s="1331"/>
      <c r="E82" s="1331"/>
      <c r="F82" s="1331"/>
    </row>
  </sheetData>
  <sheetProtection selectLockedCells="1" selectUnlockedCells="1"/>
  <mergeCells count="178">
    <mergeCell ref="A1:C1"/>
    <mergeCell ref="A2:Y2"/>
    <mergeCell ref="AC2:AD2"/>
    <mergeCell ref="AC3:AD3"/>
    <mergeCell ref="A4:F6"/>
    <mergeCell ref="G4:AD4"/>
    <mergeCell ref="G5:S5"/>
    <mergeCell ref="T5:U6"/>
    <mergeCell ref="V5:Y6"/>
    <mergeCell ref="Z5:AD6"/>
    <mergeCell ref="G6:O6"/>
    <mergeCell ref="P6:R6"/>
    <mergeCell ref="S6:S7"/>
    <mergeCell ref="A8:AD8"/>
    <mergeCell ref="A9:A10"/>
    <mergeCell ref="B9:B10"/>
    <mergeCell ref="C9:C10"/>
    <mergeCell ref="D9:D10"/>
    <mergeCell ref="E9:E10"/>
    <mergeCell ref="A11:A12"/>
    <mergeCell ref="B11:B12"/>
    <mergeCell ref="C11:C12"/>
    <mergeCell ref="D11:D12"/>
    <mergeCell ref="E11:E12"/>
    <mergeCell ref="A13:A14"/>
    <mergeCell ref="B13:B14"/>
    <mergeCell ref="C13:C14"/>
    <mergeCell ref="D13:D14"/>
    <mergeCell ref="E13:E14"/>
    <mergeCell ref="A15:A16"/>
    <mergeCell ref="B15:B16"/>
    <mergeCell ref="C15:C16"/>
    <mergeCell ref="D15:D16"/>
    <mergeCell ref="E15:E16"/>
    <mergeCell ref="A17:A18"/>
    <mergeCell ref="B17:B18"/>
    <mergeCell ref="C17:C18"/>
    <mergeCell ref="D17:D18"/>
    <mergeCell ref="E17:E18"/>
    <mergeCell ref="A19:A20"/>
    <mergeCell ref="B19:B20"/>
    <mergeCell ref="C19:C20"/>
    <mergeCell ref="D19:D20"/>
    <mergeCell ref="E19:E20"/>
    <mergeCell ref="A21:A22"/>
    <mergeCell ref="B21:B22"/>
    <mergeCell ref="C21:C22"/>
    <mergeCell ref="D21:D22"/>
    <mergeCell ref="E21:E22"/>
    <mergeCell ref="AA23:AD23"/>
    <mergeCell ref="A25:AD25"/>
    <mergeCell ref="AC26:AD26"/>
    <mergeCell ref="A27:F29"/>
    <mergeCell ref="G27:AD27"/>
    <mergeCell ref="G28:S28"/>
    <mergeCell ref="T28:U29"/>
    <mergeCell ref="V28:Y29"/>
    <mergeCell ref="Z28:AD29"/>
    <mergeCell ref="G29:O29"/>
    <mergeCell ref="P29:R29"/>
    <mergeCell ref="S29:S30"/>
    <mergeCell ref="A31:AD31"/>
    <mergeCell ref="P40:Q40"/>
    <mergeCell ref="T40:U40"/>
    <mergeCell ref="V40:Y40"/>
    <mergeCell ref="P41:Q41"/>
    <mergeCell ref="V41:Y41"/>
    <mergeCell ref="P42:Q42"/>
    <mergeCell ref="V42:Y42"/>
    <mergeCell ref="P43:Q43"/>
    <mergeCell ref="V43:Y43"/>
    <mergeCell ref="P44:Q44"/>
    <mergeCell ref="T44:U44"/>
    <mergeCell ref="V44:Y44"/>
    <mergeCell ref="P45:Q45"/>
    <mergeCell ref="T45:U45"/>
    <mergeCell ref="V45:Y45"/>
    <mergeCell ref="A48:I48"/>
    <mergeCell ref="M48:AD48"/>
    <mergeCell ref="B49:C49"/>
    <mergeCell ref="D49:E49"/>
    <mergeCell ref="F49:G49"/>
    <mergeCell ref="H49:I49"/>
    <mergeCell ref="M49:Q49"/>
    <mergeCell ref="R49:AB49"/>
    <mergeCell ref="AC49:AD49"/>
    <mergeCell ref="A50:A51"/>
    <mergeCell ref="B50:C51"/>
    <mergeCell ref="D50:E50"/>
    <mergeCell ref="F50:G50"/>
    <mergeCell ref="H50:I50"/>
    <mergeCell ref="M50:Q50"/>
    <mergeCell ref="R50:AB50"/>
    <mergeCell ref="AC50:AD50"/>
    <mergeCell ref="D51:E51"/>
    <mergeCell ref="F51:G51"/>
    <mergeCell ref="H51:I51"/>
    <mergeCell ref="M51:Q51"/>
    <mergeCell ref="R51:AB51"/>
    <mergeCell ref="AC51:AD51"/>
    <mergeCell ref="A52:A53"/>
    <mergeCell ref="B52:C53"/>
    <mergeCell ref="D52:E52"/>
    <mergeCell ref="F52:G52"/>
    <mergeCell ref="H52:I52"/>
    <mergeCell ref="M52:Q52"/>
    <mergeCell ref="R52:AB52"/>
    <mergeCell ref="AC52:AD52"/>
    <mergeCell ref="D53:E53"/>
    <mergeCell ref="F53:G53"/>
    <mergeCell ref="H53:I53"/>
    <mergeCell ref="M53:Q53"/>
    <mergeCell ref="R53:AB53"/>
    <mergeCell ref="AC53:AD53"/>
    <mergeCell ref="B54:C54"/>
    <mergeCell ref="D54:E54"/>
    <mergeCell ref="F54:G54"/>
    <mergeCell ref="H54:I54"/>
    <mergeCell ref="M54:Q54"/>
    <mergeCell ref="R54:AB54"/>
    <mergeCell ref="AC54:AD54"/>
    <mergeCell ref="A55:A56"/>
    <mergeCell ref="B55:C56"/>
    <mergeCell ref="D55:E55"/>
    <mergeCell ref="F55:G55"/>
    <mergeCell ref="H55:I55"/>
    <mergeCell ref="M55:Q55"/>
    <mergeCell ref="R55:AB55"/>
    <mergeCell ref="AC55:AD55"/>
    <mergeCell ref="D56:E56"/>
    <mergeCell ref="F56:G56"/>
    <mergeCell ref="H56:I56"/>
    <mergeCell ref="M56:Q56"/>
    <mergeCell ref="R56:AB56"/>
    <mergeCell ref="AC56:AD56"/>
    <mergeCell ref="A57:A58"/>
    <mergeCell ref="B57:C57"/>
    <mergeCell ref="D57:E58"/>
    <mergeCell ref="F57:G57"/>
    <mergeCell ref="H57:I57"/>
    <mergeCell ref="M57:Q57"/>
    <mergeCell ref="R57:AB57"/>
    <mergeCell ref="AC57:AD57"/>
    <mergeCell ref="B58:C58"/>
    <mergeCell ref="F58:G58"/>
    <mergeCell ref="H58:I58"/>
    <mergeCell ref="A59:I59"/>
    <mergeCell ref="A61:AD61"/>
    <mergeCell ref="A62:L62"/>
    <mergeCell ref="M62:AD62"/>
    <mergeCell ref="A63:L63"/>
    <mergeCell ref="M63:AD64"/>
    <mergeCell ref="A64:L64"/>
    <mergeCell ref="A65:L65"/>
    <mergeCell ref="M65:AD65"/>
    <mergeCell ref="A69:B70"/>
    <mergeCell ref="C69:C70"/>
    <mergeCell ref="D69:D70"/>
    <mergeCell ref="E69:E70"/>
    <mergeCell ref="F69:F70"/>
    <mergeCell ref="A71:B71"/>
    <mergeCell ref="A72:B72"/>
    <mergeCell ref="A73:B73"/>
    <mergeCell ref="A74:B74"/>
    <mergeCell ref="A75:B75"/>
    <mergeCell ref="A76:B76"/>
    <mergeCell ref="A77:B77"/>
    <mergeCell ref="C77:F77"/>
    <mergeCell ref="A78:B78"/>
    <mergeCell ref="C78:F78"/>
    <mergeCell ref="A79:B79"/>
    <mergeCell ref="C79:F79"/>
    <mergeCell ref="A80:B80"/>
    <mergeCell ref="C80:F80"/>
    <mergeCell ref="A81:B81"/>
    <mergeCell ref="C81:F81"/>
    <mergeCell ref="A82:B82"/>
    <mergeCell ref="C82:F82"/>
  </mergeCells>
  <hyperlinks>
    <hyperlink ref="A1" location="Содержание прайса!A1" display="Вернуться в начало"/>
    <hyperlink ref="A1:C1" location="'Содержание прайса'!A1" display="Вернуться в начало"/>
  </hyperlinks>
  <printOptions horizontalCentered="1"/>
  <pageMargins left="0" right="0" top="0.47244094488188981" bottom="0" header="0" footer="0"/>
  <pageSetup paperSize="9" scale="40"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32</oddFooter>
  </headerFooter>
  <legacy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M52"/>
  <sheetViews>
    <sheetView zoomScale="70" zoomScaleNormal="70" workbookViewId="0">
      <selection activeCell="A2" sqref="A2:I2"/>
    </sheetView>
  </sheetViews>
  <sheetFormatPr defaultRowHeight="12.75"/>
  <cols>
    <col min="1" max="1" width="29.7109375" style="46" customWidth="1"/>
    <col min="2" max="2" width="24.7109375" style="46" customWidth="1"/>
    <col min="3" max="3" width="16.28515625" style="46" customWidth="1"/>
    <col min="4" max="4" width="5.5703125" style="46" customWidth="1"/>
    <col min="5" max="5" width="13.85546875" style="46" customWidth="1"/>
    <col min="6" max="6" width="9.28515625" style="46" customWidth="1"/>
    <col min="7" max="7" width="2.5703125" style="46" customWidth="1"/>
    <col min="8" max="8" width="24.28515625" style="46" customWidth="1"/>
    <col min="9" max="9" width="17" style="46" customWidth="1"/>
    <col min="10" max="10" width="21.7109375" style="46" customWidth="1"/>
    <col min="11" max="11" width="11" style="46" customWidth="1"/>
    <col min="12" max="12" width="13.85546875" style="46" customWidth="1"/>
    <col min="13" max="13" width="8.85546875" style="46" customWidth="1"/>
    <col min="14" max="16384" width="9.140625" style="46"/>
  </cols>
  <sheetData>
    <row r="1" spans="1:13">
      <c r="A1" s="1666" t="s">
        <v>312</v>
      </c>
      <c r="B1" s="1666"/>
      <c r="C1" s="1666"/>
      <c r="D1" s="1666"/>
      <c r="E1" s="1666"/>
      <c r="F1" s="228"/>
    </row>
    <row r="2" spans="1:13" ht="17.25" customHeight="1" thickBot="1">
      <c r="A2" s="1273" t="s">
        <v>222</v>
      </c>
      <c r="B2" s="1273"/>
      <c r="C2" s="1273"/>
      <c r="D2" s="1273"/>
      <c r="E2" s="1273"/>
      <c r="F2" s="1273"/>
      <c r="G2" s="1273"/>
      <c r="H2" s="1273"/>
      <c r="I2" s="1273"/>
      <c r="J2" s="746"/>
      <c r="K2" s="734" t="s">
        <v>313</v>
      </c>
      <c r="L2" s="1483">
        <v>42557</v>
      </c>
      <c r="M2" s="1483"/>
    </row>
    <row r="3" spans="1:13" ht="15" customHeight="1">
      <c r="A3" s="482"/>
      <c r="B3" s="250"/>
      <c r="C3" s="250"/>
      <c r="D3" s="482"/>
      <c r="K3" s="2" t="s">
        <v>804</v>
      </c>
      <c r="L3" s="1679">
        <v>42557</v>
      </c>
      <c r="M3" s="1679"/>
    </row>
    <row r="4" spans="1:13" ht="26.25" customHeight="1">
      <c r="A4" s="483" t="s">
        <v>307</v>
      </c>
      <c r="B4" s="483" t="s">
        <v>1071</v>
      </c>
      <c r="C4" s="483" t="s">
        <v>2554</v>
      </c>
      <c r="D4" s="483" t="s">
        <v>622</v>
      </c>
      <c r="E4" s="483" t="s">
        <v>284</v>
      </c>
      <c r="F4" s="483" t="s">
        <v>2666</v>
      </c>
      <c r="H4" s="483" t="s">
        <v>307</v>
      </c>
      <c r="I4" s="483" t="s">
        <v>1071</v>
      </c>
      <c r="J4" s="483" t="s">
        <v>2554</v>
      </c>
      <c r="K4" s="483" t="s">
        <v>622</v>
      </c>
      <c r="L4" s="483" t="s">
        <v>284</v>
      </c>
      <c r="M4" s="483" t="s">
        <v>2666</v>
      </c>
    </row>
    <row r="5" spans="1:13">
      <c r="A5" s="2465" t="s">
        <v>2667</v>
      </c>
      <c r="B5" s="2466"/>
      <c r="C5" s="2466"/>
      <c r="D5" s="2466"/>
      <c r="E5" s="2466"/>
      <c r="F5" s="2467"/>
      <c r="H5" s="2465" t="s">
        <v>2668</v>
      </c>
      <c r="I5" s="2466"/>
      <c r="J5" s="2466"/>
      <c r="K5" s="2466"/>
      <c r="L5" s="2466"/>
      <c r="M5" s="2467"/>
    </row>
    <row r="6" spans="1:13" ht="14.25" customHeight="1">
      <c r="A6" s="1332" t="s">
        <v>2669</v>
      </c>
      <c r="B6" s="1716"/>
      <c r="C6" s="1900" t="s">
        <v>2670</v>
      </c>
      <c r="D6" s="43" t="s">
        <v>640</v>
      </c>
      <c r="E6" s="43" t="s">
        <v>566</v>
      </c>
      <c r="F6" s="2055">
        <f>ROUND(5135*Belarus*(1-B52),2)</f>
        <v>5135</v>
      </c>
      <c r="H6" s="1332" t="s">
        <v>2671</v>
      </c>
      <c r="I6" s="1716"/>
      <c r="J6" s="1900" t="s">
        <v>2672</v>
      </c>
      <c r="K6" s="43" t="s">
        <v>2673</v>
      </c>
      <c r="L6" s="43" t="s">
        <v>566</v>
      </c>
      <c r="M6" s="2055">
        <f>ROUND(3705*Belarus*(1-B52),2)</f>
        <v>3705</v>
      </c>
    </row>
    <row r="7" spans="1:13" ht="14.25" customHeight="1">
      <c r="A7" s="1332"/>
      <c r="B7" s="1716"/>
      <c r="C7" s="1997"/>
      <c r="D7" s="43" t="s">
        <v>640</v>
      </c>
      <c r="E7" s="43" t="s">
        <v>568</v>
      </c>
      <c r="F7" s="2055"/>
      <c r="H7" s="1332"/>
      <c r="I7" s="1716"/>
      <c r="J7" s="1997"/>
      <c r="K7" s="43" t="s">
        <v>2673</v>
      </c>
      <c r="L7" s="43" t="s">
        <v>568</v>
      </c>
      <c r="M7" s="2055"/>
    </row>
    <row r="8" spans="1:13" ht="14.25" customHeight="1">
      <c r="A8" s="1332"/>
      <c r="B8" s="1716"/>
      <c r="C8" s="1997"/>
      <c r="D8" s="43" t="s">
        <v>640</v>
      </c>
      <c r="E8" s="43" t="s">
        <v>2674</v>
      </c>
      <c r="F8" s="2055"/>
      <c r="H8" s="1332"/>
      <c r="I8" s="1716"/>
      <c r="J8" s="1997"/>
      <c r="K8" s="43" t="s">
        <v>2673</v>
      </c>
      <c r="L8" s="43" t="s">
        <v>2674</v>
      </c>
      <c r="M8" s="2055"/>
    </row>
    <row r="9" spans="1:13" ht="14.25" customHeight="1">
      <c r="A9" s="1332" t="s">
        <v>2675</v>
      </c>
      <c r="B9" s="1716"/>
      <c r="C9" s="1997"/>
      <c r="D9" s="43" t="s">
        <v>640</v>
      </c>
      <c r="E9" s="43" t="s">
        <v>566</v>
      </c>
      <c r="F9" s="2055">
        <f>ROUND(5850*Belarus*(1-B52),2)</f>
        <v>5850</v>
      </c>
      <c r="H9" s="1332" t="s">
        <v>2676</v>
      </c>
      <c r="I9" s="1716"/>
      <c r="J9" s="1997"/>
      <c r="K9" s="43" t="s">
        <v>2673</v>
      </c>
      <c r="L9" s="43" t="s">
        <v>566</v>
      </c>
      <c r="M9" s="2055">
        <f>ROUND(4160*Belarus*(1-B52),2)</f>
        <v>4160</v>
      </c>
    </row>
    <row r="10" spans="1:13" ht="14.25" customHeight="1">
      <c r="A10" s="1332"/>
      <c r="B10" s="1716"/>
      <c r="C10" s="1997"/>
      <c r="D10" s="43" t="s">
        <v>640</v>
      </c>
      <c r="E10" s="43" t="s">
        <v>568</v>
      </c>
      <c r="F10" s="2055"/>
      <c r="H10" s="1332"/>
      <c r="I10" s="1716"/>
      <c r="J10" s="1997"/>
      <c r="K10" s="43" t="s">
        <v>2673</v>
      </c>
      <c r="L10" s="43" t="s">
        <v>568</v>
      </c>
      <c r="M10" s="2055"/>
    </row>
    <row r="11" spans="1:13" ht="14.25" customHeight="1">
      <c r="A11" s="1332"/>
      <c r="B11" s="1716"/>
      <c r="C11" s="1997"/>
      <c r="D11" s="43" t="s">
        <v>640</v>
      </c>
      <c r="E11" s="43" t="s">
        <v>2674</v>
      </c>
      <c r="F11" s="2055"/>
      <c r="H11" s="1332"/>
      <c r="I11" s="1716"/>
      <c r="J11" s="1997"/>
      <c r="K11" s="43" t="s">
        <v>2673</v>
      </c>
      <c r="L11" s="43" t="s">
        <v>2674</v>
      </c>
      <c r="M11" s="2055"/>
    </row>
    <row r="12" spans="1:13" ht="14.25" customHeight="1">
      <c r="A12" s="1332" t="s">
        <v>2677</v>
      </c>
      <c r="B12" s="1716"/>
      <c r="C12" s="1997"/>
      <c r="D12" s="43" t="s">
        <v>640</v>
      </c>
      <c r="E12" s="43" t="s">
        <v>566</v>
      </c>
      <c r="F12" s="2055">
        <f>ROUND(5135*Belarus*(1-B52),2)</f>
        <v>5135</v>
      </c>
      <c r="H12" s="1332" t="s">
        <v>2678</v>
      </c>
      <c r="I12" s="1716"/>
      <c r="J12" s="1997"/>
      <c r="K12" s="43" t="s">
        <v>2673</v>
      </c>
      <c r="L12" s="43" t="s">
        <v>566</v>
      </c>
      <c r="M12" s="2055">
        <f>ROUND(4485*Belarus*(1-B52),2)</f>
        <v>4485</v>
      </c>
    </row>
    <row r="13" spans="1:13" ht="14.25" customHeight="1">
      <c r="A13" s="1332"/>
      <c r="B13" s="1716"/>
      <c r="C13" s="1997"/>
      <c r="D13" s="43" t="s">
        <v>640</v>
      </c>
      <c r="E13" s="43" t="s">
        <v>568</v>
      </c>
      <c r="F13" s="2055"/>
      <c r="H13" s="1332"/>
      <c r="I13" s="1716"/>
      <c r="J13" s="1997"/>
      <c r="K13" s="43" t="s">
        <v>2673</v>
      </c>
      <c r="L13" s="43" t="s">
        <v>568</v>
      </c>
      <c r="M13" s="2055"/>
    </row>
    <row r="14" spans="1:13" ht="14.25" customHeight="1">
      <c r="A14" s="1332"/>
      <c r="B14" s="1716"/>
      <c r="C14" s="1997"/>
      <c r="D14" s="43" t="s">
        <v>640</v>
      </c>
      <c r="E14" s="43" t="s">
        <v>2674</v>
      </c>
      <c r="F14" s="2055"/>
      <c r="H14" s="1332"/>
      <c r="I14" s="1716"/>
      <c r="J14" s="1997"/>
      <c r="K14" s="43" t="s">
        <v>2673</v>
      </c>
      <c r="L14" s="43" t="s">
        <v>2674</v>
      </c>
      <c r="M14" s="2055"/>
    </row>
    <row r="15" spans="1:13" ht="14.25" customHeight="1">
      <c r="A15" s="1332" t="s">
        <v>2679</v>
      </c>
      <c r="B15" s="1716"/>
      <c r="C15" s="1997"/>
      <c r="D15" s="43" t="s">
        <v>640</v>
      </c>
      <c r="E15" s="43" t="s">
        <v>566</v>
      </c>
      <c r="F15" s="2055">
        <f>ROUND(5850*Belarus*(1-B52),2)</f>
        <v>5850</v>
      </c>
      <c r="H15" s="1332" t="s">
        <v>2680</v>
      </c>
      <c r="I15" s="1716"/>
      <c r="J15" s="1997"/>
      <c r="K15" s="43" t="s">
        <v>2673</v>
      </c>
      <c r="L15" s="43" t="s">
        <v>566</v>
      </c>
      <c r="M15" s="2055">
        <f>ROUND(4160*Belarus*(1-B52),2)</f>
        <v>4160</v>
      </c>
    </row>
    <row r="16" spans="1:13" ht="14.25" customHeight="1">
      <c r="A16" s="1332"/>
      <c r="B16" s="1716"/>
      <c r="C16" s="1997"/>
      <c r="D16" s="43" t="s">
        <v>640</v>
      </c>
      <c r="E16" s="43" t="s">
        <v>568</v>
      </c>
      <c r="F16" s="2055"/>
      <c r="H16" s="1332"/>
      <c r="I16" s="1716"/>
      <c r="J16" s="1997"/>
      <c r="K16" s="43" t="s">
        <v>2673</v>
      </c>
      <c r="L16" s="43" t="s">
        <v>568</v>
      </c>
      <c r="M16" s="2055"/>
    </row>
    <row r="17" spans="1:13" ht="14.25" customHeight="1">
      <c r="A17" s="1332"/>
      <c r="B17" s="1716"/>
      <c r="C17" s="1901"/>
      <c r="D17" s="43" t="s">
        <v>640</v>
      </c>
      <c r="E17" s="43" t="s">
        <v>2674</v>
      </c>
      <c r="F17" s="2055"/>
      <c r="H17" s="1332"/>
      <c r="I17" s="1716"/>
      <c r="J17" s="1997"/>
      <c r="K17" s="43" t="s">
        <v>2673</v>
      </c>
      <c r="L17" s="43" t="s">
        <v>2674</v>
      </c>
      <c r="M17" s="2055"/>
    </row>
    <row r="18" spans="1:13" ht="18.75" customHeight="1">
      <c r="A18" s="1332" t="s">
        <v>2681</v>
      </c>
      <c r="B18" s="1716"/>
      <c r="C18" s="1900" t="s">
        <v>2682</v>
      </c>
      <c r="D18" s="43" t="s">
        <v>640</v>
      </c>
      <c r="E18" s="43" t="s">
        <v>566</v>
      </c>
      <c r="F18" s="2055">
        <f>ROUND(1560*Belarus*(1-B52),2)</f>
        <v>1560</v>
      </c>
      <c r="G18" s="1"/>
      <c r="H18" s="1332" t="s">
        <v>2683</v>
      </c>
      <c r="I18" s="1716"/>
      <c r="J18" s="1997"/>
      <c r="K18" s="43" t="s">
        <v>2673</v>
      </c>
      <c r="L18" s="43" t="s">
        <v>566</v>
      </c>
      <c r="M18" s="2055">
        <f>ROUND(4485*Belarus*(1-B52),2)</f>
        <v>4485</v>
      </c>
    </row>
    <row r="19" spans="1:13" ht="18.75" customHeight="1">
      <c r="A19" s="1332"/>
      <c r="B19" s="1716"/>
      <c r="C19" s="1997"/>
      <c r="D19" s="43" t="s">
        <v>640</v>
      </c>
      <c r="E19" s="43" t="s">
        <v>568</v>
      </c>
      <c r="F19" s="2055"/>
      <c r="G19" s="1"/>
      <c r="H19" s="1332"/>
      <c r="I19" s="1716"/>
      <c r="J19" s="1997"/>
      <c r="K19" s="43" t="s">
        <v>2673</v>
      </c>
      <c r="L19" s="43" t="s">
        <v>568</v>
      </c>
      <c r="M19" s="2055"/>
    </row>
    <row r="20" spans="1:13" ht="18.75" customHeight="1">
      <c r="A20" s="1332"/>
      <c r="B20" s="1716"/>
      <c r="C20" s="1997"/>
      <c r="D20" s="43" t="s">
        <v>640</v>
      </c>
      <c r="E20" s="43" t="s">
        <v>2674</v>
      </c>
      <c r="F20" s="2055"/>
      <c r="G20" s="1"/>
      <c r="H20" s="1332"/>
      <c r="I20" s="1716"/>
      <c r="J20" s="1997"/>
      <c r="K20" s="43" t="s">
        <v>2673</v>
      </c>
      <c r="L20" s="43" t="s">
        <v>2674</v>
      </c>
      <c r="M20" s="2055"/>
    </row>
    <row r="21" spans="1:13" ht="18.75" customHeight="1">
      <c r="A21" s="1332" t="s">
        <v>2684</v>
      </c>
      <c r="B21" s="1716"/>
      <c r="C21" s="1997"/>
      <c r="D21" s="43" t="s">
        <v>640</v>
      </c>
      <c r="E21" s="43" t="s">
        <v>566</v>
      </c>
      <c r="F21" s="2055">
        <f>ROUND(1690*Belarus*(1-B52),2)</f>
        <v>1690</v>
      </c>
      <c r="G21" s="1"/>
      <c r="H21" s="1332" t="s">
        <v>2685</v>
      </c>
      <c r="I21" s="1716"/>
      <c r="J21" s="1997"/>
      <c r="K21" s="43" t="s">
        <v>2673</v>
      </c>
      <c r="L21" s="43" t="s">
        <v>566</v>
      </c>
      <c r="M21" s="2055">
        <f>ROUND(5460*Belarus*(1-B52),2)</f>
        <v>5460</v>
      </c>
    </row>
    <row r="22" spans="1:13" ht="18.75" customHeight="1">
      <c r="A22" s="1332"/>
      <c r="B22" s="1716"/>
      <c r="C22" s="1997"/>
      <c r="D22" s="43" t="s">
        <v>640</v>
      </c>
      <c r="E22" s="43" t="s">
        <v>568</v>
      </c>
      <c r="F22" s="2055"/>
      <c r="G22" s="1"/>
      <c r="H22" s="1332"/>
      <c r="I22" s="1716"/>
      <c r="J22" s="1997"/>
      <c r="K22" s="43" t="s">
        <v>2673</v>
      </c>
      <c r="L22" s="43" t="s">
        <v>568</v>
      </c>
      <c r="M22" s="2055"/>
    </row>
    <row r="23" spans="1:13" ht="18.75" customHeight="1">
      <c r="A23" s="1332"/>
      <c r="B23" s="1716"/>
      <c r="C23" s="1997"/>
      <c r="D23" s="43" t="s">
        <v>640</v>
      </c>
      <c r="E23" s="43" t="s">
        <v>2674</v>
      </c>
      <c r="F23" s="2055"/>
      <c r="G23" s="1"/>
      <c r="H23" s="1332"/>
      <c r="I23" s="1716"/>
      <c r="J23" s="1997"/>
      <c r="K23" s="43" t="s">
        <v>2673</v>
      </c>
      <c r="L23" s="43" t="s">
        <v>2674</v>
      </c>
      <c r="M23" s="2055"/>
    </row>
    <row r="24" spans="1:13" ht="18.75" customHeight="1">
      <c r="A24" s="1332" t="s">
        <v>2686</v>
      </c>
      <c r="B24" s="1716"/>
      <c r="C24" s="1997"/>
      <c r="D24" s="43" t="s">
        <v>640</v>
      </c>
      <c r="E24" s="43" t="s">
        <v>566</v>
      </c>
      <c r="F24" s="2055">
        <f>ROUND(1170*Belarus*(1-B52),2)</f>
        <v>1170</v>
      </c>
      <c r="G24" s="1"/>
      <c r="H24" s="1332" t="s">
        <v>2687</v>
      </c>
      <c r="I24" s="1716"/>
      <c r="J24" s="1997"/>
      <c r="K24" s="43" t="s">
        <v>2673</v>
      </c>
      <c r="L24" s="43" t="s">
        <v>566</v>
      </c>
      <c r="M24" s="2055">
        <f>ROUND(5980*Belarus*(1-B52),2)</f>
        <v>5980</v>
      </c>
    </row>
    <row r="25" spans="1:13" ht="18.75" customHeight="1">
      <c r="A25" s="1332"/>
      <c r="B25" s="1716"/>
      <c r="C25" s="1997"/>
      <c r="D25" s="43" t="s">
        <v>640</v>
      </c>
      <c r="E25" s="43" t="s">
        <v>568</v>
      </c>
      <c r="F25" s="2055"/>
      <c r="H25" s="1332"/>
      <c r="I25" s="1716"/>
      <c r="J25" s="1997"/>
      <c r="K25" s="43" t="s">
        <v>2673</v>
      </c>
      <c r="L25" s="43" t="s">
        <v>568</v>
      </c>
      <c r="M25" s="2055"/>
    </row>
    <row r="26" spans="1:13" ht="18.75" customHeight="1">
      <c r="A26" s="1332"/>
      <c r="B26" s="1716"/>
      <c r="C26" s="1901"/>
      <c r="D26" s="43" t="s">
        <v>640</v>
      </c>
      <c r="E26" s="43" t="s">
        <v>2674</v>
      </c>
      <c r="F26" s="2055"/>
      <c r="H26" s="1332"/>
      <c r="I26" s="1716"/>
      <c r="J26" s="1901"/>
      <c r="K26" s="43" t="s">
        <v>2673</v>
      </c>
      <c r="L26" s="43" t="s">
        <v>2674</v>
      </c>
      <c r="M26" s="2055"/>
    </row>
    <row r="27" spans="1:13" ht="16.5" customHeight="1">
      <c r="A27" s="2459" t="s">
        <v>2688</v>
      </c>
      <c r="B27" s="2460"/>
      <c r="C27" s="2460"/>
      <c r="D27" s="2460"/>
      <c r="E27" s="2460"/>
      <c r="F27" s="2461"/>
      <c r="H27" s="1332" t="s">
        <v>2689</v>
      </c>
      <c r="I27" s="1716" t="s">
        <v>369</v>
      </c>
      <c r="J27" s="1900" t="s">
        <v>2690</v>
      </c>
      <c r="K27" s="43" t="s">
        <v>640</v>
      </c>
      <c r="L27" s="43" t="s">
        <v>566</v>
      </c>
      <c r="M27" s="2055">
        <f>ROUND(6045*Belarus*(1-B52),2)</f>
        <v>6045</v>
      </c>
    </row>
    <row r="28" spans="1:13" ht="16.5" customHeight="1">
      <c r="A28" s="2462"/>
      <c r="B28" s="2463"/>
      <c r="C28" s="2463"/>
      <c r="D28" s="2463"/>
      <c r="E28" s="2463"/>
      <c r="F28" s="2464"/>
      <c r="H28" s="1332"/>
      <c r="I28" s="1716"/>
      <c r="J28" s="1997"/>
      <c r="K28" s="43" t="s">
        <v>640</v>
      </c>
      <c r="L28" s="43" t="s">
        <v>2674</v>
      </c>
      <c r="M28" s="2055"/>
    </row>
    <row r="29" spans="1:13" ht="16.5" customHeight="1">
      <c r="A29" s="1332" t="s">
        <v>2691</v>
      </c>
      <c r="B29" s="1332"/>
      <c r="C29" s="1900" t="s">
        <v>2692</v>
      </c>
      <c r="D29" s="43" t="s">
        <v>640</v>
      </c>
      <c r="E29" s="43" t="s">
        <v>566</v>
      </c>
      <c r="F29" s="2055">
        <f>ROUND(455*Belarus*(1-B52),2)</f>
        <v>455</v>
      </c>
      <c r="G29" s="1"/>
      <c r="H29" s="1332" t="s">
        <v>2693</v>
      </c>
      <c r="I29" s="1716"/>
      <c r="J29" s="1997"/>
      <c r="K29" s="43" t="s">
        <v>640</v>
      </c>
      <c r="L29" s="43" t="s">
        <v>566</v>
      </c>
      <c r="M29" s="2055">
        <f>ROUND(3900*Belarus*(1-B52),2)</f>
        <v>3900</v>
      </c>
    </row>
    <row r="30" spans="1:13" ht="16.5" customHeight="1">
      <c r="A30" s="1332"/>
      <c r="B30" s="1332"/>
      <c r="C30" s="1997"/>
      <c r="D30" s="43" t="s">
        <v>640</v>
      </c>
      <c r="E30" s="43" t="s">
        <v>568</v>
      </c>
      <c r="F30" s="2055"/>
      <c r="G30" s="1"/>
      <c r="H30" s="1332"/>
      <c r="I30" s="1716"/>
      <c r="J30" s="1997"/>
      <c r="K30" s="43" t="s">
        <v>640</v>
      </c>
      <c r="L30" s="43" t="s">
        <v>2674</v>
      </c>
      <c r="M30" s="2055"/>
    </row>
    <row r="31" spans="1:13" ht="16.5" customHeight="1">
      <c r="A31" s="1332"/>
      <c r="B31" s="1332"/>
      <c r="C31" s="1997"/>
      <c r="D31" s="43" t="s">
        <v>640</v>
      </c>
      <c r="E31" s="43" t="s">
        <v>2674</v>
      </c>
      <c r="F31" s="2055"/>
      <c r="G31" s="1"/>
      <c r="H31" s="1332" t="s">
        <v>2694</v>
      </c>
      <c r="I31" s="1716" t="s">
        <v>369</v>
      </c>
      <c r="J31" s="1997"/>
      <c r="K31" s="1281" t="s">
        <v>640</v>
      </c>
      <c r="L31" s="1281" t="s">
        <v>566</v>
      </c>
      <c r="M31" s="2055">
        <f>ROUND(3250*Belarus*(1-B52),2)</f>
        <v>3250</v>
      </c>
    </row>
    <row r="32" spans="1:13" ht="16.5" customHeight="1">
      <c r="A32" s="1332" t="s">
        <v>2695</v>
      </c>
      <c r="B32" s="1332"/>
      <c r="C32" s="1997"/>
      <c r="D32" s="43" t="s">
        <v>640</v>
      </c>
      <c r="E32" s="43" t="s">
        <v>566</v>
      </c>
      <c r="F32" s="2055">
        <f>ROUND(715*Belarus*(1-B52),2)</f>
        <v>715</v>
      </c>
      <c r="G32" s="1"/>
      <c r="H32" s="1332"/>
      <c r="I32" s="1716"/>
      <c r="J32" s="1997"/>
      <c r="K32" s="1281"/>
      <c r="L32" s="1281"/>
      <c r="M32" s="2055"/>
    </row>
    <row r="33" spans="1:13" ht="16.5" customHeight="1">
      <c r="A33" s="1332"/>
      <c r="B33" s="1332"/>
      <c r="C33" s="1997"/>
      <c r="D33" s="43" t="s">
        <v>640</v>
      </c>
      <c r="E33" s="43" t="s">
        <v>568</v>
      </c>
      <c r="F33" s="2055"/>
      <c r="G33" s="1"/>
      <c r="H33" s="1332"/>
      <c r="I33" s="1716"/>
      <c r="J33" s="1997"/>
      <c r="K33" s="1281"/>
      <c r="L33" s="1281"/>
      <c r="M33" s="2055"/>
    </row>
    <row r="34" spans="1:13" ht="16.5" customHeight="1">
      <c r="A34" s="1332"/>
      <c r="B34" s="1332"/>
      <c r="C34" s="1997"/>
      <c r="D34" s="43" t="s">
        <v>640</v>
      </c>
      <c r="E34" s="43" t="s">
        <v>2674</v>
      </c>
      <c r="F34" s="2055"/>
      <c r="G34" s="1"/>
      <c r="H34" s="1332" t="s">
        <v>2696</v>
      </c>
      <c r="I34" s="1716" t="s">
        <v>369</v>
      </c>
      <c r="J34" s="1997"/>
      <c r="K34" s="1281" t="s">
        <v>640</v>
      </c>
      <c r="L34" s="1281" t="s">
        <v>566</v>
      </c>
      <c r="M34" s="2055">
        <f>ROUND(3575*Belarus*(1-B52),2)</f>
        <v>3575</v>
      </c>
    </row>
    <row r="35" spans="1:13" ht="16.5" customHeight="1">
      <c r="A35" s="1332" t="s">
        <v>2697</v>
      </c>
      <c r="B35" s="1332"/>
      <c r="C35" s="1997"/>
      <c r="D35" s="43" t="s">
        <v>640</v>
      </c>
      <c r="E35" s="43" t="s">
        <v>566</v>
      </c>
      <c r="F35" s="2055">
        <f>ROUND(650*Belarus*(1-B52),2)</f>
        <v>650</v>
      </c>
      <c r="G35" s="1"/>
      <c r="H35" s="1332"/>
      <c r="I35" s="1716"/>
      <c r="J35" s="1997"/>
      <c r="K35" s="1281"/>
      <c r="L35" s="1281"/>
      <c r="M35" s="2055"/>
    </row>
    <row r="36" spans="1:13" ht="16.5" customHeight="1">
      <c r="A36" s="1332"/>
      <c r="B36" s="1332"/>
      <c r="C36" s="1997"/>
      <c r="D36" s="43" t="s">
        <v>640</v>
      </c>
      <c r="E36" s="43" t="s">
        <v>568</v>
      </c>
      <c r="F36" s="2055"/>
      <c r="G36" s="1"/>
      <c r="H36" s="1332"/>
      <c r="I36" s="1716"/>
      <c r="J36" s="1901"/>
      <c r="K36" s="1281"/>
      <c r="L36" s="1281"/>
      <c r="M36" s="2055"/>
    </row>
    <row r="37" spans="1:13" ht="16.5" customHeight="1">
      <c r="A37" s="1332"/>
      <c r="B37" s="1332"/>
      <c r="C37" s="1997"/>
      <c r="D37" s="43" t="s">
        <v>640</v>
      </c>
      <c r="E37" s="43" t="s">
        <v>2674</v>
      </c>
      <c r="F37" s="2055"/>
      <c r="G37" s="1"/>
      <c r="H37" s="1332" t="s">
        <v>2698</v>
      </c>
      <c r="I37" s="1716" t="s">
        <v>369</v>
      </c>
      <c r="J37" s="1900" t="s">
        <v>2699</v>
      </c>
      <c r="K37" s="1716" t="s">
        <v>2673</v>
      </c>
      <c r="L37" s="1716" t="s">
        <v>566</v>
      </c>
      <c r="M37" s="2055">
        <f>ROUND(9750*Belarus*(1-B52),2)</f>
        <v>9750</v>
      </c>
    </row>
    <row r="38" spans="1:13" ht="16.5" customHeight="1">
      <c r="A38" s="1332" t="s">
        <v>2700</v>
      </c>
      <c r="B38" s="1332"/>
      <c r="C38" s="1997"/>
      <c r="D38" s="43" t="s">
        <v>640</v>
      </c>
      <c r="E38" s="43" t="s">
        <v>566</v>
      </c>
      <c r="F38" s="2055">
        <f>ROUND(520*Belarus*(1-B52),2)</f>
        <v>520</v>
      </c>
      <c r="G38" s="1"/>
      <c r="H38" s="1332"/>
      <c r="I38" s="1716"/>
      <c r="J38" s="1997"/>
      <c r="K38" s="1716"/>
      <c r="L38" s="1716"/>
      <c r="M38" s="2055"/>
    </row>
    <row r="39" spans="1:13" ht="16.5" customHeight="1">
      <c r="A39" s="1332"/>
      <c r="B39" s="1332"/>
      <c r="C39" s="1997"/>
      <c r="D39" s="43" t="s">
        <v>640</v>
      </c>
      <c r="E39" s="43" t="s">
        <v>568</v>
      </c>
      <c r="F39" s="2055"/>
      <c r="G39" s="1"/>
      <c r="H39" s="1332"/>
      <c r="I39" s="1716"/>
      <c r="J39" s="1997"/>
      <c r="K39" s="1716"/>
      <c r="L39" s="1716"/>
      <c r="M39" s="2055"/>
    </row>
    <row r="40" spans="1:13" ht="16.5" customHeight="1">
      <c r="A40" s="1332"/>
      <c r="B40" s="1332"/>
      <c r="C40" s="1997"/>
      <c r="D40" s="43" t="s">
        <v>640</v>
      </c>
      <c r="E40" s="43" t="s">
        <v>2674</v>
      </c>
      <c r="F40" s="2055"/>
      <c r="G40" s="1"/>
      <c r="H40" s="1332"/>
      <c r="I40" s="1716"/>
      <c r="J40" s="1997"/>
      <c r="K40" s="1716"/>
      <c r="L40" s="1716"/>
      <c r="M40" s="2055"/>
    </row>
    <row r="41" spans="1:13" ht="17.25" customHeight="1">
      <c r="A41" s="1332" t="s">
        <v>2701</v>
      </c>
      <c r="B41" s="1332"/>
      <c r="C41" s="1997"/>
      <c r="D41" s="43" t="s">
        <v>640</v>
      </c>
      <c r="E41" s="43" t="s">
        <v>566</v>
      </c>
      <c r="F41" s="2055">
        <f>ROUND(1430*Belarus*(1-B52),2)</f>
        <v>1430</v>
      </c>
      <c r="G41" s="1"/>
      <c r="H41" s="1332" t="s">
        <v>2702</v>
      </c>
      <c r="I41" s="1716" t="s">
        <v>369</v>
      </c>
      <c r="J41" s="1997"/>
      <c r="K41" s="1281" t="s">
        <v>640</v>
      </c>
      <c r="L41" s="1281" t="s">
        <v>566</v>
      </c>
      <c r="M41" s="2055">
        <f>ROUND(4485*Belarus*(1-B52),2)</f>
        <v>4485</v>
      </c>
    </row>
    <row r="42" spans="1:13" ht="17.25" customHeight="1">
      <c r="A42" s="1332"/>
      <c r="B42" s="1332"/>
      <c r="C42" s="1997"/>
      <c r="D42" s="43" t="s">
        <v>640</v>
      </c>
      <c r="E42" s="43" t="s">
        <v>568</v>
      </c>
      <c r="F42" s="2055"/>
      <c r="H42" s="1332"/>
      <c r="I42" s="1716"/>
      <c r="J42" s="1997"/>
      <c r="K42" s="1281"/>
      <c r="L42" s="1281"/>
      <c r="M42" s="2055"/>
    </row>
    <row r="43" spans="1:13" ht="17.25" customHeight="1">
      <c r="A43" s="1332"/>
      <c r="B43" s="1332"/>
      <c r="C43" s="1901"/>
      <c r="D43" s="43" t="s">
        <v>640</v>
      </c>
      <c r="E43" s="43" t="s">
        <v>2674</v>
      </c>
      <c r="F43" s="2055"/>
      <c r="H43" s="1332"/>
      <c r="I43" s="1716"/>
      <c r="J43" s="1901"/>
      <c r="K43" s="1281"/>
      <c r="L43" s="1281"/>
      <c r="M43" s="2055"/>
    </row>
    <row r="44" spans="1:13">
      <c r="A44" s="1718" t="s">
        <v>1127</v>
      </c>
      <c r="B44" s="1718"/>
      <c r="C44" s="1718"/>
      <c r="D44" s="1718"/>
      <c r="E44" s="1718"/>
      <c r="F44" s="1718"/>
    </row>
    <row r="45" spans="1:13">
      <c r="A45" s="96"/>
      <c r="B45" s="96"/>
      <c r="C45" s="96"/>
      <c r="D45" s="96"/>
      <c r="E45" s="96"/>
      <c r="F45" s="96"/>
      <c r="H45" s="2450" t="s">
        <v>2703</v>
      </c>
      <c r="I45" s="2450"/>
      <c r="J45" s="2450"/>
      <c r="K45" s="2450"/>
      <c r="L45" s="2450"/>
      <c r="M45" s="2450"/>
    </row>
    <row r="46" spans="1:13">
      <c r="H46" s="137"/>
      <c r="I46" s="137"/>
      <c r="J46" s="137"/>
      <c r="K46" s="484" t="s">
        <v>804</v>
      </c>
      <c r="L46" s="1679">
        <v>42159</v>
      </c>
      <c r="M46" s="1679"/>
    </row>
    <row r="47" spans="1:13" ht="25.5">
      <c r="H47" s="2451" t="s">
        <v>307</v>
      </c>
      <c r="I47" s="2451"/>
      <c r="J47" s="483" t="s">
        <v>1071</v>
      </c>
      <c r="K47" s="483" t="s">
        <v>622</v>
      </c>
      <c r="L47" s="483" t="s">
        <v>284</v>
      </c>
      <c r="M47" s="483" t="s">
        <v>2666</v>
      </c>
    </row>
    <row r="48" spans="1:13" ht="45.75" customHeight="1">
      <c r="H48" s="1332" t="s">
        <v>2645</v>
      </c>
      <c r="I48" s="1332"/>
      <c r="J48" s="132"/>
      <c r="K48" s="285" t="s">
        <v>640</v>
      </c>
      <c r="L48" s="485" t="s">
        <v>2557</v>
      </c>
      <c r="M48" s="354">
        <f>ROUND(2500*Belarus*(1-F52),2)</f>
        <v>2500</v>
      </c>
    </row>
    <row r="49" spans="1:8" ht="12.75" customHeight="1"/>
    <row r="51" spans="1:8" ht="12.75" customHeight="1">
      <c r="A51" s="2452" t="s">
        <v>508</v>
      </c>
      <c r="B51" s="2453" t="s">
        <v>2704</v>
      </c>
      <c r="C51" s="2454"/>
      <c r="D51" s="2454"/>
      <c r="E51" s="2455"/>
      <c r="F51" s="2453" t="s">
        <v>2705</v>
      </c>
      <c r="G51" s="2454"/>
      <c r="H51" s="2455"/>
    </row>
    <row r="52" spans="1:8">
      <c r="A52" s="2452"/>
      <c r="B52" s="2456">
        <v>0</v>
      </c>
      <c r="C52" s="2457"/>
      <c r="D52" s="2457"/>
      <c r="E52" s="2458"/>
      <c r="F52" s="2456">
        <v>0</v>
      </c>
      <c r="G52" s="2457"/>
      <c r="H52" s="2458"/>
    </row>
  </sheetData>
  <sheetProtection selectLockedCells="1" selectUnlockedCells="1"/>
  <mergeCells count="98">
    <mergeCell ref="L2:M2"/>
    <mergeCell ref="A2:I2"/>
    <mergeCell ref="A1:E1"/>
    <mergeCell ref="L3:M3"/>
    <mergeCell ref="A5:F5"/>
    <mergeCell ref="H5:M5"/>
    <mergeCell ref="A6:A8"/>
    <mergeCell ref="B6:B11"/>
    <mergeCell ref="C6:C17"/>
    <mergeCell ref="F6:F8"/>
    <mergeCell ref="H6:H8"/>
    <mergeCell ref="F9:F11"/>
    <mergeCell ref="H9:H11"/>
    <mergeCell ref="M9:M11"/>
    <mergeCell ref="A12:A14"/>
    <mergeCell ref="B12:B17"/>
    <mergeCell ref="F12:F14"/>
    <mergeCell ref="H12:H14"/>
    <mergeCell ref="M12:M14"/>
    <mergeCell ref="A15:A17"/>
    <mergeCell ref="F15:F17"/>
    <mergeCell ref="H15:H17"/>
    <mergeCell ref="M15:M17"/>
    <mergeCell ref="I6:I20"/>
    <mergeCell ref="J6:J26"/>
    <mergeCell ref="M6:M8"/>
    <mergeCell ref="A9:A11"/>
    <mergeCell ref="A18:A20"/>
    <mergeCell ref="B18:B20"/>
    <mergeCell ref="C18:C26"/>
    <mergeCell ref="F18:F20"/>
    <mergeCell ref="H18:H20"/>
    <mergeCell ref="M18:M20"/>
    <mergeCell ref="A21:A23"/>
    <mergeCell ref="B21:B23"/>
    <mergeCell ref="F21:F23"/>
    <mergeCell ref="H21:H23"/>
    <mergeCell ref="I21:I26"/>
    <mergeCell ref="M21:M23"/>
    <mergeCell ref="A24:A26"/>
    <mergeCell ref="B24:B26"/>
    <mergeCell ref="L34:L36"/>
    <mergeCell ref="F24:F26"/>
    <mergeCell ref="H24:H26"/>
    <mergeCell ref="M24:M26"/>
    <mergeCell ref="A27:F28"/>
    <mergeCell ref="H27:H28"/>
    <mergeCell ref="I27:I30"/>
    <mergeCell ref="J27:J36"/>
    <mergeCell ref="M27:M28"/>
    <mergeCell ref="A29:A31"/>
    <mergeCell ref="M29:M30"/>
    <mergeCell ref="H31:H33"/>
    <mergeCell ref="I31:I33"/>
    <mergeCell ref="K31:K33"/>
    <mergeCell ref="L31:L33"/>
    <mergeCell ref="M31:M33"/>
    <mergeCell ref="A32:A34"/>
    <mergeCell ref="B32:B34"/>
    <mergeCell ref="F32:F34"/>
    <mergeCell ref="H34:H36"/>
    <mergeCell ref="I34:I36"/>
    <mergeCell ref="K34:K36"/>
    <mergeCell ref="C29:C43"/>
    <mergeCell ref="F29:F31"/>
    <mergeCell ref="H29:H30"/>
    <mergeCell ref="B29:B31"/>
    <mergeCell ref="M34:M36"/>
    <mergeCell ref="A35:A37"/>
    <mergeCell ref="B35:B37"/>
    <mergeCell ref="F35:F37"/>
    <mergeCell ref="H37:H40"/>
    <mergeCell ref="I37:I40"/>
    <mergeCell ref="J37:J43"/>
    <mergeCell ref="K37:K40"/>
    <mergeCell ref="L37:L40"/>
    <mergeCell ref="M37:M40"/>
    <mergeCell ref="A38:A40"/>
    <mergeCell ref="B38:B40"/>
    <mergeCell ref="F38:F40"/>
    <mergeCell ref="A41:A43"/>
    <mergeCell ref="B41:B43"/>
    <mergeCell ref="F41:F43"/>
    <mergeCell ref="H41:H43"/>
    <mergeCell ref="I41:I43"/>
    <mergeCell ref="K41:K43"/>
    <mergeCell ref="L41:L43"/>
    <mergeCell ref="M41:M43"/>
    <mergeCell ref="A44:F44"/>
    <mergeCell ref="H45:M45"/>
    <mergeCell ref="L46:M46"/>
    <mergeCell ref="H47:I47"/>
    <mergeCell ref="H48:I48"/>
    <mergeCell ref="A51:A52"/>
    <mergeCell ref="B51:E51"/>
    <mergeCell ref="F51:H51"/>
    <mergeCell ref="B52:E52"/>
    <mergeCell ref="F52:H52"/>
  </mergeCells>
  <hyperlinks>
    <hyperlink ref="A1" location="Содержание прайса!A1" display="Вернуться в начало"/>
    <hyperlink ref="A1:E1" location="'Содержание прайса'!A1" display="Вернуться в начало"/>
  </hyperlinks>
  <printOptions horizontalCentered="1"/>
  <pageMargins left="0" right="0" top="0.47244094488188981" bottom="0" header="0" footer="0"/>
  <pageSetup paperSize="9" scale="69"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33</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L55"/>
  <sheetViews>
    <sheetView zoomScale="70" zoomScaleNormal="70" zoomScaleSheetLayoutView="70" workbookViewId="0">
      <selection sqref="A1:E1"/>
    </sheetView>
  </sheetViews>
  <sheetFormatPr defaultRowHeight="12.75"/>
  <cols>
    <col min="1" max="1" width="35.85546875" style="187" customWidth="1"/>
    <col min="2" max="2" width="17.140625" style="46" customWidth="1"/>
    <col min="3" max="3" width="15.140625" style="46" customWidth="1"/>
    <col min="4" max="4" width="13.140625" style="46" customWidth="1"/>
    <col min="5" max="5" width="14.85546875" style="46" customWidth="1"/>
    <col min="6" max="6" width="14.28515625" style="46" customWidth="1"/>
    <col min="7" max="7" width="15.28515625" style="46" customWidth="1"/>
    <col min="8" max="8" width="13.140625" style="46" customWidth="1"/>
    <col min="9" max="9" width="17.42578125" style="46" customWidth="1"/>
    <col min="10" max="10" width="14.5703125" style="46" customWidth="1"/>
    <col min="11" max="11" width="13.7109375" style="46" customWidth="1"/>
    <col min="12" max="12" width="15.7109375" style="46" customWidth="1"/>
    <col min="13" max="16384" width="9.140625" style="46"/>
  </cols>
  <sheetData>
    <row r="1" spans="1:12">
      <c r="A1" s="1666" t="s">
        <v>312</v>
      </c>
      <c r="B1" s="1666"/>
      <c r="C1" s="1666"/>
      <c r="D1" s="1666"/>
      <c r="E1" s="1666"/>
    </row>
    <row r="2" spans="1:12" ht="13.5" customHeight="1">
      <c r="A2" s="1"/>
      <c r="B2" s="1"/>
      <c r="C2" s="1"/>
      <c r="D2" s="1"/>
      <c r="E2" s="1"/>
      <c r="F2" s="1"/>
      <c r="I2" s="53"/>
      <c r="J2" s="53"/>
      <c r="K2" s="667" t="s">
        <v>313</v>
      </c>
      <c r="L2" s="1083">
        <v>43304</v>
      </c>
    </row>
    <row r="3" spans="1:12" ht="18.75" thickBot="1">
      <c r="A3" s="1273" t="s">
        <v>6620</v>
      </c>
      <c r="B3" s="1273"/>
      <c r="C3" s="1273"/>
      <c r="D3" s="1273"/>
      <c r="E3" s="1273"/>
      <c r="F3" s="1273"/>
      <c r="G3" s="1273"/>
      <c r="H3" s="1273"/>
      <c r="I3" s="1273"/>
      <c r="J3" s="1273"/>
      <c r="K3" s="1273"/>
      <c r="L3" s="1273"/>
    </row>
    <row r="4" spans="1:12">
      <c r="A4" s="486"/>
      <c r="B4" s="487"/>
      <c r="C4" s="487"/>
      <c r="D4" s="487"/>
      <c r="E4" s="113"/>
      <c r="F4" s="403"/>
      <c r="K4" s="489" t="s">
        <v>804</v>
      </c>
      <c r="L4" s="1081">
        <v>43164</v>
      </c>
    </row>
    <row r="5" spans="1:12" s="317" customFormat="1" ht="27.75" customHeight="1">
      <c r="A5" s="1922" t="s">
        <v>307</v>
      </c>
      <c r="B5" s="1923"/>
      <c r="C5" s="1923"/>
      <c r="D5" s="1924"/>
      <c r="E5" s="1224" t="s">
        <v>6444</v>
      </c>
      <c r="F5" s="1084" t="s">
        <v>6445</v>
      </c>
      <c r="G5" s="1084" t="s">
        <v>2594</v>
      </c>
      <c r="H5" s="1224" t="s">
        <v>2707</v>
      </c>
      <c r="I5" s="2468" t="s">
        <v>284</v>
      </c>
      <c r="J5" s="2469"/>
      <c r="K5" s="1087" t="s">
        <v>559</v>
      </c>
      <c r="L5" s="1087" t="s">
        <v>527</v>
      </c>
    </row>
    <row r="6" spans="1:12" ht="15.75" customHeight="1">
      <c r="A6" s="1868" t="s">
        <v>3653</v>
      </c>
      <c r="B6" s="1386"/>
      <c r="C6" s="1386"/>
      <c r="D6" s="1386"/>
      <c r="E6" s="101" t="s">
        <v>6446</v>
      </c>
      <c r="F6" s="101" t="s">
        <v>6447</v>
      </c>
      <c r="G6" s="101">
        <v>0.45500000000000002</v>
      </c>
      <c r="H6" s="101">
        <v>15</v>
      </c>
      <c r="I6" s="2470" t="s">
        <v>6542</v>
      </c>
      <c r="J6" s="2471"/>
      <c r="K6" s="1082">
        <f>ROUND(351*Belarus*(1-B51),2)</f>
        <v>351</v>
      </c>
      <c r="L6" s="1088">
        <f>ROUND(K6/G6,2)</f>
        <v>771.43</v>
      </c>
    </row>
    <row r="7" spans="1:12" ht="30.75" customHeight="1">
      <c r="A7" s="1869"/>
      <c r="B7" s="1386"/>
      <c r="C7" s="1386"/>
      <c r="D7" s="1386"/>
      <c r="E7" s="101" t="s">
        <v>6448</v>
      </c>
      <c r="F7" s="101" t="s">
        <v>6449</v>
      </c>
      <c r="G7" s="101">
        <v>0.46100000000000002</v>
      </c>
      <c r="H7" s="101">
        <v>15</v>
      </c>
      <c r="I7" s="2470" t="s">
        <v>6708</v>
      </c>
      <c r="J7" s="2471"/>
      <c r="K7" s="1225" t="str">
        <f>ROUND(351*Belarus*(1-B51),2)&amp;" Базовая"&amp;"; "&amp;ROUND(250*Belarus*(1-B51),2)&amp;" Акция"</f>
        <v>351 Базовая; 250 Акция</v>
      </c>
      <c r="L7" s="1226" t="str">
        <f>ROUND(351/G7*Belarus*(1-B51),2)&amp;" Базовая"&amp;"; "&amp;ROUND(250/G7*Belarus*(1-B51),2)&amp;" Акция"</f>
        <v>761,39 Базовая; 542,3 Акция</v>
      </c>
    </row>
    <row r="8" spans="1:12" ht="45.75" customHeight="1">
      <c r="A8" s="122" t="s">
        <v>6927</v>
      </c>
      <c r="B8" s="2472"/>
      <c r="C8" s="2473"/>
      <c r="D8" s="2474"/>
      <c r="E8" s="101" t="s">
        <v>6448</v>
      </c>
      <c r="F8" s="101" t="s">
        <v>6449</v>
      </c>
      <c r="G8" s="101">
        <v>0.46100000000000002</v>
      </c>
      <c r="H8" s="101">
        <v>15</v>
      </c>
      <c r="I8" s="2470" t="s">
        <v>6928</v>
      </c>
      <c r="J8" s="2471"/>
      <c r="K8" s="1225">
        <f>ROUND(351*Belarus*(1-B51),2)</f>
        <v>351</v>
      </c>
      <c r="L8" s="1226">
        <f>ROUND(351/G8*Belarus*(1-B51),2)</f>
        <v>761.39</v>
      </c>
    </row>
    <row r="9" spans="1:12" ht="51.75" customHeight="1">
      <c r="A9" s="122" t="s">
        <v>4226</v>
      </c>
      <c r="B9" s="2472"/>
      <c r="C9" s="2473"/>
      <c r="D9" s="2474"/>
      <c r="E9" s="101" t="s">
        <v>6450</v>
      </c>
      <c r="F9" s="101" t="s">
        <v>6451</v>
      </c>
      <c r="G9" s="101">
        <v>0.38900000000000001</v>
      </c>
      <c r="H9" s="101">
        <v>15</v>
      </c>
      <c r="I9" s="2470" t="s">
        <v>5314</v>
      </c>
      <c r="J9" s="2471"/>
      <c r="K9" s="1082">
        <f>ROUND(300*Belarus*(1-B51),2)</f>
        <v>300</v>
      </c>
      <c r="L9" s="1088">
        <f>ROUND(K9/G9,2)</f>
        <v>771.21</v>
      </c>
    </row>
    <row r="10" spans="1:12" ht="49.5" customHeight="1">
      <c r="A10" s="122" t="s">
        <v>6452</v>
      </c>
      <c r="B10" s="1755"/>
      <c r="C10" s="1759"/>
      <c r="D10" s="1756"/>
      <c r="E10" s="101" t="s">
        <v>6453</v>
      </c>
      <c r="F10" s="101" t="s">
        <v>6454</v>
      </c>
      <c r="G10" s="101">
        <v>0.45</v>
      </c>
      <c r="H10" s="101">
        <v>15</v>
      </c>
      <c r="I10" s="2470" t="s">
        <v>6709</v>
      </c>
      <c r="J10" s="2471"/>
      <c r="K10" s="1225" t="str">
        <f>ROUND(348*Belarus*(1-B51),2)&amp;" Базовая"&amp;"; "&amp;ROUND(250*Belarus*(1-B51),2)&amp;" Акция"</f>
        <v>348 Базовая; 250 Акция</v>
      </c>
      <c r="L10" s="1226" t="str">
        <f>ROUND(348/G10*Belarus*(1-B51),2)&amp;" Базовая"&amp;"; "&amp;ROUND(250/G10*Belarus*(1-B51),2)&amp;" Акция"</f>
        <v>773,33 Базовая; 555,56 Акция</v>
      </c>
    </row>
    <row r="11" spans="1:12" s="54" customFormat="1" ht="15.75" customHeight="1">
      <c r="A11" s="1409" t="s">
        <v>2708</v>
      </c>
      <c r="B11" s="1410"/>
      <c r="C11" s="1410"/>
      <c r="D11" s="1411"/>
      <c r="E11" s="1386" t="s">
        <v>2709</v>
      </c>
      <c r="F11" s="1386"/>
      <c r="G11" s="1386"/>
      <c r="H11" s="101">
        <v>200</v>
      </c>
      <c r="I11" s="2470" t="s">
        <v>566</v>
      </c>
      <c r="J11" s="2471"/>
      <c r="K11" s="1082">
        <f>ROUND(13*Belarus*(1-B51),2)</f>
        <v>13</v>
      </c>
      <c r="L11" s="1089" t="s">
        <v>369</v>
      </c>
    </row>
    <row r="12" spans="1:12" s="54" customFormat="1" ht="15.75" customHeight="1">
      <c r="A12" s="1428" t="s">
        <v>6765</v>
      </c>
      <c r="B12" s="1588"/>
      <c r="C12" s="1588"/>
      <c r="D12" s="1588"/>
      <c r="E12" s="1588"/>
      <c r="F12" s="1588"/>
      <c r="G12" s="1588"/>
      <c r="H12" s="1588"/>
      <c r="I12" s="1588"/>
      <c r="J12" s="1588"/>
      <c r="K12" s="1588"/>
      <c r="L12" s="1588"/>
    </row>
    <row r="13" spans="1:12" s="54" customFormat="1" ht="15" customHeight="1">
      <c r="A13" s="119" t="s">
        <v>6455</v>
      </c>
      <c r="B13" s="490"/>
      <c r="C13" s="490"/>
      <c r="D13" s="490"/>
      <c r="E13" s="491"/>
      <c r="F13" s="492"/>
      <c r="G13" s="491"/>
      <c r="H13" s="491"/>
      <c r="I13" s="493"/>
      <c r="J13" s="493"/>
      <c r="K13" s="494"/>
      <c r="L13" s="495"/>
    </row>
    <row r="14" spans="1:12">
      <c r="A14" s="325"/>
      <c r="B14" s="325"/>
      <c r="C14" s="325"/>
      <c r="D14" s="325"/>
      <c r="E14" s="325"/>
      <c r="F14" s="325"/>
      <c r="G14" s="325"/>
      <c r="H14" s="325"/>
      <c r="I14" s="325"/>
      <c r="J14" s="325"/>
      <c r="K14" s="325"/>
      <c r="L14" s="325"/>
    </row>
    <row r="15" spans="1:12" ht="18.75" thickBot="1">
      <c r="A15" s="1273" t="s">
        <v>6456</v>
      </c>
      <c r="B15" s="1273"/>
      <c r="C15" s="1273"/>
      <c r="D15" s="1273"/>
      <c r="E15" s="1273"/>
      <c r="F15" s="1273"/>
      <c r="G15" s="1273"/>
      <c r="H15" s="1273"/>
      <c r="I15" s="1273"/>
      <c r="J15" s="1273"/>
      <c r="K15" s="1273"/>
      <c r="L15" s="1273"/>
    </row>
    <row r="16" spans="1:12">
      <c r="A16" s="46"/>
      <c r="E16" s="325"/>
      <c r="F16" s="325"/>
      <c r="G16" s="325"/>
      <c r="H16" s="325"/>
      <c r="I16" s="325"/>
      <c r="J16" s="325"/>
      <c r="K16" s="489" t="s">
        <v>804</v>
      </c>
      <c r="L16" s="1079">
        <v>43297</v>
      </c>
    </row>
    <row r="17" spans="1:12">
      <c r="A17" s="2326" t="s">
        <v>307</v>
      </c>
      <c r="B17" s="2475"/>
      <c r="C17" s="2475"/>
      <c r="D17" s="2327"/>
      <c r="E17" s="1398" t="s">
        <v>318</v>
      </c>
      <c r="F17" s="1398" t="s">
        <v>2595</v>
      </c>
      <c r="G17" s="1378" t="s">
        <v>3633</v>
      </c>
      <c r="H17" s="1379"/>
      <c r="I17" s="1379"/>
      <c r="J17" s="1379"/>
      <c r="K17" s="1379"/>
      <c r="L17" s="1380"/>
    </row>
    <row r="18" spans="1:12">
      <c r="A18" s="2476"/>
      <c r="B18" s="2477"/>
      <c r="C18" s="2477"/>
      <c r="D18" s="2478"/>
      <c r="E18" s="1398"/>
      <c r="F18" s="1398"/>
      <c r="G18" s="1378" t="s">
        <v>2587</v>
      </c>
      <c r="H18" s="1379"/>
      <c r="I18" s="1379"/>
      <c r="J18" s="1380"/>
      <c r="K18" s="1378" t="s">
        <v>2588</v>
      </c>
      <c r="L18" s="1380"/>
    </row>
    <row r="19" spans="1:12">
      <c r="A19" s="2328"/>
      <c r="B19" s="2479"/>
      <c r="C19" s="2479"/>
      <c r="D19" s="2329"/>
      <c r="E19" s="1398"/>
      <c r="F19" s="1398"/>
      <c r="G19" s="126" t="s">
        <v>566</v>
      </c>
      <c r="H19" s="126" t="s">
        <v>2596</v>
      </c>
      <c r="I19" s="126" t="s">
        <v>2597</v>
      </c>
      <c r="J19" s="126" t="s">
        <v>2603</v>
      </c>
      <c r="K19" s="126" t="s">
        <v>2606</v>
      </c>
      <c r="L19" s="126" t="s">
        <v>2607</v>
      </c>
    </row>
    <row r="20" spans="1:12" ht="12.75" customHeight="1">
      <c r="A20" s="1779" t="s">
        <v>2635</v>
      </c>
      <c r="B20" s="1780"/>
      <c r="C20" s="1780"/>
      <c r="D20" s="1781"/>
      <c r="E20" s="480">
        <v>3</v>
      </c>
      <c r="F20" s="48">
        <v>10</v>
      </c>
      <c r="G20" s="219">
        <f>ROUND(239*Belarus*(1-B53),2)</f>
        <v>239</v>
      </c>
      <c r="H20" s="219">
        <f>ROUND(184*Belarus*(1-B53),2)</f>
        <v>184</v>
      </c>
      <c r="I20" s="219">
        <f>ROUND(184*Belarus*(1-B53),2)</f>
        <v>184</v>
      </c>
      <c r="J20" s="219">
        <f>ROUND(370*Belarus*(1-B53),2)</f>
        <v>370</v>
      </c>
      <c r="K20" s="221">
        <f>ROUND(326*Belarus*(1-B53),2)</f>
        <v>326</v>
      </c>
      <c r="L20" s="221">
        <f>ROUND(295*Belarus*(1-B53),2)</f>
        <v>295</v>
      </c>
    </row>
    <row r="21" spans="1:12" ht="12.75" customHeight="1">
      <c r="A21" s="1779" t="s">
        <v>2636</v>
      </c>
      <c r="B21" s="1780"/>
      <c r="C21" s="1780"/>
      <c r="D21" s="1781"/>
      <c r="E21" s="480">
        <v>3</v>
      </c>
      <c r="F21" s="48">
        <v>10</v>
      </c>
      <c r="G21" s="219">
        <f>ROUND(576*Belarus*(1-B53),2)</f>
        <v>576</v>
      </c>
      <c r="H21" s="219" t="s">
        <v>369</v>
      </c>
      <c r="I21" s="219" t="s">
        <v>369</v>
      </c>
      <c r="J21" s="219" t="s">
        <v>369</v>
      </c>
      <c r="K21" s="221">
        <f>ROUND(1010*Belarus*(1-B53),2)</f>
        <v>1010</v>
      </c>
      <c r="L21" s="221" t="s">
        <v>369</v>
      </c>
    </row>
    <row r="22" spans="1:12" ht="12.75" customHeight="1">
      <c r="A22" s="1779" t="s">
        <v>2637</v>
      </c>
      <c r="B22" s="1780"/>
      <c r="C22" s="1780"/>
      <c r="D22" s="1781"/>
      <c r="E22" s="480">
        <v>3</v>
      </c>
      <c r="F22" s="48">
        <v>6</v>
      </c>
      <c r="G22" s="219">
        <f>ROUND(365*Belarus*(1-B53),2)</f>
        <v>365</v>
      </c>
      <c r="H22" s="219">
        <f>ROUND(263*Belarus*(1-B53),2)</f>
        <v>263</v>
      </c>
      <c r="I22" s="219">
        <f>ROUND(263*Belarus*(1-B53),2)</f>
        <v>263</v>
      </c>
      <c r="J22" s="219">
        <f>ROUND(406*Belarus*(1-B53),2)</f>
        <v>406</v>
      </c>
      <c r="K22" s="221">
        <f>ROUND(583*Belarus*(1-B53),2)</f>
        <v>583</v>
      </c>
      <c r="L22" s="221" t="s">
        <v>369</v>
      </c>
    </row>
    <row r="23" spans="1:12" ht="12.75" customHeight="1">
      <c r="A23" s="1779" t="s">
        <v>2638</v>
      </c>
      <c r="B23" s="1780"/>
      <c r="C23" s="1780"/>
      <c r="D23" s="1781"/>
      <c r="E23" s="480">
        <v>3</v>
      </c>
      <c r="F23" s="48">
        <v>45</v>
      </c>
      <c r="G23" s="219">
        <f>ROUND(140*Belarus*(1-B53),2)</f>
        <v>140</v>
      </c>
      <c r="H23" s="219">
        <f>ROUND(140*Belarus*(1-B53),2)</f>
        <v>140</v>
      </c>
      <c r="I23" s="219">
        <f>ROUND(140*Belarus*(1-B53),2)</f>
        <v>140</v>
      </c>
      <c r="J23" s="219">
        <f>ROUND(194*Belarus*(1-B53),2)</f>
        <v>194</v>
      </c>
      <c r="K23" s="221">
        <f>ROUND(278*Belarus*(1-B53),2)</f>
        <v>278</v>
      </c>
      <c r="L23" s="221">
        <f>ROUND(154*Belarus*(1-B53),2)</f>
        <v>154</v>
      </c>
    </row>
    <row r="24" spans="1:12" ht="12.75" customHeight="1">
      <c r="A24" s="1409" t="s">
        <v>6929</v>
      </c>
      <c r="B24" s="1410"/>
      <c r="C24" s="1410"/>
      <c r="D24" s="1411"/>
      <c r="E24" s="480">
        <v>3</v>
      </c>
      <c r="F24" s="48">
        <v>6</v>
      </c>
      <c r="G24" s="219" t="s">
        <v>369</v>
      </c>
      <c r="H24" s="219" t="s">
        <v>369</v>
      </c>
      <c r="I24" s="219" t="s">
        <v>369</v>
      </c>
      <c r="J24" s="219" t="s">
        <v>369</v>
      </c>
      <c r="K24" s="1227">
        <f>ROUND(583*Belarus*(1-B53),2)</f>
        <v>583</v>
      </c>
      <c r="L24" s="221" t="s">
        <v>369</v>
      </c>
    </row>
    <row r="25" spans="1:12">
      <c r="A25" s="135"/>
      <c r="B25" s="135"/>
      <c r="C25" s="135"/>
      <c r="D25" s="135"/>
    </row>
    <row r="26" spans="1:12" ht="18.75" thickBot="1">
      <c r="A26" s="1273" t="s">
        <v>6621</v>
      </c>
      <c r="B26" s="1273"/>
      <c r="C26" s="1273"/>
      <c r="D26" s="1273"/>
      <c r="E26" s="1273"/>
      <c r="F26" s="1273"/>
      <c r="G26" s="1273"/>
      <c r="H26" s="1273"/>
      <c r="I26" s="1273"/>
      <c r="J26" s="1273"/>
      <c r="K26" s="1273"/>
      <c r="L26" s="1273"/>
    </row>
    <row r="27" spans="1:12">
      <c r="A27" s="135"/>
      <c r="B27" s="135"/>
      <c r="C27" s="135"/>
      <c r="D27" s="135"/>
      <c r="K27" s="489" t="s">
        <v>804</v>
      </c>
      <c r="L27" s="1079">
        <v>43271</v>
      </c>
    </row>
    <row r="28" spans="1:12" ht="25.5">
      <c r="A28" s="1922" t="s">
        <v>307</v>
      </c>
      <c r="B28" s="1923"/>
      <c r="C28" s="1923"/>
      <c r="D28" s="1924"/>
      <c r="E28" s="1224" t="s">
        <v>6444</v>
      </c>
      <c r="F28" s="1084" t="s">
        <v>6445</v>
      </c>
      <c r="G28" s="1084" t="s">
        <v>2594</v>
      </c>
      <c r="H28" s="1224" t="s">
        <v>2707</v>
      </c>
      <c r="I28" s="2468" t="s">
        <v>284</v>
      </c>
      <c r="J28" s="2469"/>
      <c r="K28" s="1087" t="s">
        <v>559</v>
      </c>
      <c r="L28" s="1087" t="s">
        <v>527</v>
      </c>
    </row>
    <row r="29" spans="1:12" ht="30.75" customHeight="1">
      <c r="A29" s="1868" t="s">
        <v>6622</v>
      </c>
      <c r="B29" s="1542"/>
      <c r="C29" s="1543"/>
      <c r="D29" s="1544"/>
      <c r="E29" s="1766" t="s">
        <v>6623</v>
      </c>
      <c r="F29" s="1766" t="s">
        <v>6624</v>
      </c>
      <c r="G29" s="1766">
        <v>0.377</v>
      </c>
      <c r="H29" s="1766">
        <v>10</v>
      </c>
      <c r="I29" s="2470" t="s">
        <v>6642</v>
      </c>
      <c r="J29" s="2471"/>
      <c r="K29" s="1082">
        <f>ROUND(299*Belarus*(1-B52),2)</f>
        <v>299</v>
      </c>
      <c r="L29" s="1142">
        <f>ROUND(K29/G29,2)</f>
        <v>793.1</v>
      </c>
    </row>
    <row r="30" spans="1:12" ht="30.75" customHeight="1">
      <c r="A30" s="1869"/>
      <c r="B30" s="1441"/>
      <c r="C30" s="1448"/>
      <c r="D30" s="1449"/>
      <c r="E30" s="1443"/>
      <c r="F30" s="1443"/>
      <c r="G30" s="1443"/>
      <c r="H30" s="1443"/>
      <c r="I30" s="2470" t="s">
        <v>568</v>
      </c>
      <c r="J30" s="2471"/>
      <c r="K30" s="1228">
        <f>ROUND(299*Belarus*(1-B52),2)</f>
        <v>299</v>
      </c>
      <c r="L30" s="1142">
        <f>ROUND(K30/G29,2)</f>
        <v>793.1</v>
      </c>
    </row>
    <row r="31" spans="1:12" ht="30.75" customHeight="1">
      <c r="A31" s="1868" t="s">
        <v>6625</v>
      </c>
      <c r="B31" s="1542"/>
      <c r="C31" s="1543"/>
      <c r="D31" s="1544"/>
      <c r="E31" s="1766" t="s">
        <v>6626</v>
      </c>
      <c r="F31" s="1766" t="s">
        <v>6627</v>
      </c>
      <c r="G31" s="1766">
        <v>0.38800000000000001</v>
      </c>
      <c r="H31" s="1766">
        <v>10</v>
      </c>
      <c r="I31" s="2480" t="s">
        <v>568</v>
      </c>
      <c r="J31" s="2481"/>
      <c r="K31" s="2489">
        <f>ROUND(299*Belarus*(1-B52),2)</f>
        <v>299</v>
      </c>
      <c r="L31" s="2489">
        <f>ROUND(K31/G31,2)</f>
        <v>770.62</v>
      </c>
    </row>
    <row r="32" spans="1:12" ht="30.75" customHeight="1">
      <c r="A32" s="1869"/>
      <c r="B32" s="1441"/>
      <c r="C32" s="1448"/>
      <c r="D32" s="1449"/>
      <c r="E32" s="1443"/>
      <c r="F32" s="1443"/>
      <c r="G32" s="1443"/>
      <c r="H32" s="1443"/>
      <c r="I32" s="2482"/>
      <c r="J32" s="2483"/>
      <c r="K32" s="2490"/>
      <c r="L32" s="2490"/>
    </row>
    <row r="33" spans="1:12" ht="12.75" customHeight="1">
      <c r="A33" s="1351" t="s">
        <v>6628</v>
      </c>
      <c r="B33" s="1409" t="s">
        <v>6644</v>
      </c>
      <c r="C33" s="1410"/>
      <c r="D33" s="1411"/>
      <c r="E33" s="1386"/>
      <c r="F33" s="1386"/>
      <c r="G33" s="1386"/>
      <c r="H33" s="1386"/>
      <c r="I33" s="2470" t="s">
        <v>568</v>
      </c>
      <c r="J33" s="2471"/>
      <c r="K33" s="1082">
        <f>ROUND(278*Belarus*(1-B52),2)</f>
        <v>278</v>
      </c>
      <c r="L33" s="1088" t="s">
        <v>369</v>
      </c>
    </row>
    <row r="34" spans="1:12">
      <c r="A34" s="1351"/>
      <c r="B34" s="1409" t="s">
        <v>6645</v>
      </c>
      <c r="C34" s="1410"/>
      <c r="D34" s="1411"/>
      <c r="E34" s="1386"/>
      <c r="F34" s="1386"/>
      <c r="G34" s="1386"/>
      <c r="H34" s="1386"/>
      <c r="I34" s="2470" t="s">
        <v>6643</v>
      </c>
      <c r="J34" s="2471"/>
      <c r="K34" s="1228">
        <f>ROUND(278*Belarus*(1-B52),2)</f>
        <v>278</v>
      </c>
      <c r="L34" s="1088" t="s">
        <v>369</v>
      </c>
    </row>
    <row r="35" spans="1:12">
      <c r="A35" s="127"/>
      <c r="B35" s="125"/>
      <c r="C35" s="125"/>
      <c r="D35" s="125"/>
      <c r="E35" s="76"/>
      <c r="F35" s="76"/>
      <c r="G35" s="76"/>
      <c r="H35" s="76"/>
      <c r="I35" s="1166"/>
      <c r="J35" s="1166"/>
      <c r="K35" s="1229"/>
      <c r="L35" s="1167"/>
    </row>
    <row r="36" spans="1:12" ht="18.75" thickBot="1">
      <c r="A36" s="1273" t="s">
        <v>6686</v>
      </c>
      <c r="B36" s="1273"/>
      <c r="C36" s="1273"/>
      <c r="D36" s="1273"/>
      <c r="E36" s="1273"/>
      <c r="F36" s="1273"/>
      <c r="G36" s="1273"/>
      <c r="H36" s="1273"/>
      <c r="I36" s="1273"/>
      <c r="J36" s="1273"/>
      <c r="K36" s="1273"/>
      <c r="L36" s="1273"/>
    </row>
    <row r="37" spans="1:12">
      <c r="A37" s="2484" t="s">
        <v>307</v>
      </c>
      <c r="B37" s="2484" t="s">
        <v>318</v>
      </c>
      <c r="C37" s="2484" t="s">
        <v>2595</v>
      </c>
      <c r="D37" s="2484" t="s">
        <v>284</v>
      </c>
      <c r="E37" s="2484" t="s">
        <v>3633</v>
      </c>
      <c r="G37" s="2487" t="s">
        <v>307</v>
      </c>
      <c r="H37" s="2488"/>
      <c r="I37" s="2484" t="s">
        <v>318</v>
      </c>
      <c r="J37" s="2484" t="s">
        <v>2595</v>
      </c>
      <c r="K37" s="2484" t="s">
        <v>284</v>
      </c>
      <c r="L37" s="2484" t="s">
        <v>3633</v>
      </c>
    </row>
    <row r="38" spans="1:12">
      <c r="A38" s="2485"/>
      <c r="B38" s="2485"/>
      <c r="C38" s="2485"/>
      <c r="D38" s="2485"/>
      <c r="E38" s="2485"/>
      <c r="G38" s="2476"/>
      <c r="H38" s="2478"/>
      <c r="I38" s="2485"/>
      <c r="J38" s="2485"/>
      <c r="K38" s="2485"/>
      <c r="L38" s="2485"/>
    </row>
    <row r="39" spans="1:12">
      <c r="A39" s="2486"/>
      <c r="B39" s="2486"/>
      <c r="C39" s="2486"/>
      <c r="D39" s="2486"/>
      <c r="E39" s="2486"/>
      <c r="G39" s="2476"/>
      <c r="H39" s="2478"/>
      <c r="I39" s="2485"/>
      <c r="J39" s="2485"/>
      <c r="K39" s="2485"/>
      <c r="L39" s="2485"/>
    </row>
    <row r="40" spans="1:12">
      <c r="A40" s="1995" t="s">
        <v>2636</v>
      </c>
      <c r="B40" s="2491">
        <v>3</v>
      </c>
      <c r="C40" s="2493">
        <v>10</v>
      </c>
      <c r="D40" s="1230" t="s">
        <v>566</v>
      </c>
      <c r="E40" s="1231">
        <f>ROUND(576*Belarus*(1-B54),2)</f>
        <v>576</v>
      </c>
      <c r="G40" s="1351" t="s">
        <v>2638</v>
      </c>
      <c r="H40" s="1351"/>
      <c r="I40" s="2437">
        <v>3</v>
      </c>
      <c r="J40" s="1386">
        <v>45</v>
      </c>
      <c r="K40" s="1351" t="s">
        <v>6688</v>
      </c>
      <c r="L40" s="1285">
        <f>ROUND(140*Belarus*(1-B54),2)</f>
        <v>140</v>
      </c>
    </row>
    <row r="41" spans="1:12">
      <c r="A41" s="2001"/>
      <c r="B41" s="2492"/>
      <c r="C41" s="2494"/>
      <c r="D41" s="1230" t="s">
        <v>6687</v>
      </c>
      <c r="E41" s="1231">
        <f>ROUND(1010*Belarus*(1-B54),2)</f>
        <v>1010</v>
      </c>
      <c r="G41" s="1351"/>
      <c r="H41" s="1351"/>
      <c r="I41" s="2437"/>
      <c r="J41" s="1386"/>
      <c r="K41" s="1351"/>
      <c r="L41" s="1285"/>
    </row>
    <row r="42" spans="1:12">
      <c r="A42" s="1995" t="s">
        <v>572</v>
      </c>
      <c r="B42" s="2491">
        <v>3</v>
      </c>
      <c r="C42" s="2493">
        <v>50</v>
      </c>
      <c r="D42" s="1230" t="s">
        <v>566</v>
      </c>
      <c r="E42" s="1231">
        <f>ROUND(175*Belarus*(1-B54),2)</f>
        <v>175</v>
      </c>
      <c r="G42" s="1351"/>
      <c r="H42" s="1351"/>
      <c r="I42" s="2437"/>
      <c r="J42" s="1386"/>
      <c r="K42" s="1351"/>
      <c r="L42" s="1285"/>
    </row>
    <row r="43" spans="1:12">
      <c r="A43" s="2001"/>
      <c r="B43" s="2492"/>
      <c r="C43" s="2494"/>
      <c r="D43" s="1230" t="s">
        <v>6687</v>
      </c>
      <c r="E43" s="1231">
        <f>ROUND(189*Belarus*(1-B54),2)</f>
        <v>189</v>
      </c>
      <c r="G43" s="1351"/>
      <c r="H43" s="1351"/>
      <c r="I43" s="2437"/>
      <c r="J43" s="1386"/>
      <c r="K43" s="279" t="s">
        <v>2603</v>
      </c>
      <c r="L43" s="219">
        <f>ROUND(194*Belarus*(1-B54),2)</f>
        <v>194</v>
      </c>
    </row>
    <row r="44" spans="1:12">
      <c r="A44" s="1171" t="s">
        <v>6689</v>
      </c>
      <c r="B44" s="1232">
        <v>3</v>
      </c>
      <c r="C44" s="43">
        <v>68</v>
      </c>
      <c r="D44" s="1230" t="s">
        <v>566</v>
      </c>
      <c r="E44" s="1231">
        <f>ROUND(177*Belarus*(1-B54),2)</f>
        <v>177</v>
      </c>
      <c r="G44" s="1351"/>
      <c r="H44" s="1351"/>
      <c r="I44" s="2437"/>
      <c r="J44" s="1386"/>
      <c r="K44" s="279" t="s">
        <v>6687</v>
      </c>
      <c r="L44" s="219">
        <f>ROUND(278*Belarus*(1-B54),2)</f>
        <v>278</v>
      </c>
    </row>
    <row r="45" spans="1:12">
      <c r="A45" s="1172" t="s">
        <v>6690</v>
      </c>
      <c r="B45" s="1232">
        <v>2</v>
      </c>
      <c r="C45" s="43">
        <v>20</v>
      </c>
      <c r="D45" s="1173" t="s">
        <v>369</v>
      </c>
      <c r="E45" s="1231">
        <f>ROUND(177*Belarus*(1-B54),2)</f>
        <v>177</v>
      </c>
      <c r="G45" s="54"/>
      <c r="H45" s="54"/>
      <c r="I45" s="54"/>
      <c r="J45" s="54"/>
      <c r="K45" s="54"/>
      <c r="L45" s="54"/>
    </row>
    <row r="46" spans="1:12">
      <c r="A46" s="46"/>
      <c r="G46" s="54"/>
      <c r="H46" s="54"/>
      <c r="I46" s="54"/>
      <c r="J46" s="54"/>
      <c r="K46" s="54"/>
      <c r="L46" s="54"/>
    </row>
    <row r="47" spans="1:12">
      <c r="A47" s="135"/>
      <c r="B47" s="135"/>
      <c r="C47" s="135"/>
      <c r="D47" s="135"/>
      <c r="G47" s="54"/>
      <c r="H47" s="54"/>
      <c r="I47" s="54"/>
      <c r="J47" s="54"/>
      <c r="K47" s="54"/>
      <c r="L47" s="54"/>
    </row>
    <row r="48" spans="1:12">
      <c r="A48" s="135"/>
      <c r="B48" s="135"/>
      <c r="C48" s="135"/>
      <c r="D48" s="135"/>
    </row>
    <row r="50" spans="1:8">
      <c r="A50" s="2495" t="s">
        <v>1835</v>
      </c>
      <c r="B50" s="2496"/>
      <c r="C50" s="76"/>
      <c r="D50" s="76"/>
    </row>
    <row r="51" spans="1:8">
      <c r="A51" s="500" t="s">
        <v>6629</v>
      </c>
      <c r="B51" s="129">
        <v>0</v>
      </c>
      <c r="C51" s="146"/>
      <c r="D51" s="146"/>
    </row>
    <row r="52" spans="1:8" ht="25.5">
      <c r="A52" s="1143" t="s">
        <v>6630</v>
      </c>
      <c r="B52" s="129">
        <v>0</v>
      </c>
      <c r="C52" s="146"/>
      <c r="D52" s="146"/>
    </row>
    <row r="53" spans="1:8" ht="12.75" customHeight="1">
      <c r="A53" s="1090" t="s">
        <v>2665</v>
      </c>
      <c r="B53" s="129">
        <v>0</v>
      </c>
      <c r="C53" s="146"/>
      <c r="D53" s="146"/>
      <c r="F53" s="1091"/>
      <c r="G53" s="1091"/>
      <c r="H53" s="1091"/>
    </row>
    <row r="54" spans="1:8" ht="25.5">
      <c r="A54" s="1090" t="s">
        <v>6710</v>
      </c>
      <c r="B54" s="129">
        <v>0</v>
      </c>
      <c r="F54" s="96"/>
      <c r="G54" s="96"/>
      <c r="H54" s="96"/>
    </row>
    <row r="55" spans="1:8">
      <c r="F55" s="96"/>
      <c r="G55" s="96"/>
      <c r="H55" s="96"/>
    </row>
  </sheetData>
  <sheetProtection selectLockedCells="1" selectUnlockedCells="1"/>
  <mergeCells count="82">
    <mergeCell ref="A42:A43"/>
    <mergeCell ref="B42:B43"/>
    <mergeCell ref="C42:C43"/>
    <mergeCell ref="A50:B50"/>
    <mergeCell ref="K37:K39"/>
    <mergeCell ref="L37:L39"/>
    <mergeCell ref="A40:A41"/>
    <mergeCell ref="B40:B41"/>
    <mergeCell ref="C40:C41"/>
    <mergeCell ref="G40:H44"/>
    <mergeCell ref="I40:I44"/>
    <mergeCell ref="J40:J44"/>
    <mergeCell ref="K40:K42"/>
    <mergeCell ref="L40:L42"/>
    <mergeCell ref="I34:J34"/>
    <mergeCell ref="A36:L36"/>
    <mergeCell ref="A37:A39"/>
    <mergeCell ref="B37:B39"/>
    <mergeCell ref="C37:C39"/>
    <mergeCell ref="D37:D39"/>
    <mergeCell ref="E37:E39"/>
    <mergeCell ref="G37:H39"/>
    <mergeCell ref="I37:I39"/>
    <mergeCell ref="J37:J39"/>
    <mergeCell ref="K31:K32"/>
    <mergeCell ref="L31:L32"/>
    <mergeCell ref="I33:J33"/>
    <mergeCell ref="A33:A34"/>
    <mergeCell ref="B33:D33"/>
    <mergeCell ref="E33:E34"/>
    <mergeCell ref="F33:F34"/>
    <mergeCell ref="G33:G34"/>
    <mergeCell ref="H33:H34"/>
    <mergeCell ref="B34:D34"/>
    <mergeCell ref="I30:J30"/>
    <mergeCell ref="A31:A32"/>
    <mergeCell ref="B31:D32"/>
    <mergeCell ref="E31:E32"/>
    <mergeCell ref="F31:F32"/>
    <mergeCell ref="G31:G32"/>
    <mergeCell ref="H31:H32"/>
    <mergeCell ref="I31:J32"/>
    <mergeCell ref="A26:L26"/>
    <mergeCell ref="A28:D28"/>
    <mergeCell ref="I28:J28"/>
    <mergeCell ref="A29:A30"/>
    <mergeCell ref="B29:D30"/>
    <mergeCell ref="E29:E30"/>
    <mergeCell ref="F29:F30"/>
    <mergeCell ref="G29:G30"/>
    <mergeCell ref="H29:H30"/>
    <mergeCell ref="I29:J29"/>
    <mergeCell ref="K18:L18"/>
    <mergeCell ref="A20:D20"/>
    <mergeCell ref="A21:D21"/>
    <mergeCell ref="A22:D22"/>
    <mergeCell ref="A23:D23"/>
    <mergeCell ref="A24:D24"/>
    <mergeCell ref="A11:D11"/>
    <mergeCell ref="E11:G11"/>
    <mergeCell ref="I11:J11"/>
    <mergeCell ref="A12:L12"/>
    <mergeCell ref="A15:L15"/>
    <mergeCell ref="A17:D19"/>
    <mergeCell ref="E17:E19"/>
    <mergeCell ref="F17:F19"/>
    <mergeCell ref="G17:L17"/>
    <mergeCell ref="G18:J18"/>
    <mergeCell ref="B8:D8"/>
    <mergeCell ref="I8:J8"/>
    <mergeCell ref="B9:D9"/>
    <mergeCell ref="I9:J9"/>
    <mergeCell ref="B10:D10"/>
    <mergeCell ref="I10:J10"/>
    <mergeCell ref="A1:E1"/>
    <mergeCell ref="A3:L3"/>
    <mergeCell ref="A5:D5"/>
    <mergeCell ref="I5:J5"/>
    <mergeCell ref="A6:A7"/>
    <mergeCell ref="B6:D7"/>
    <mergeCell ref="I6:J6"/>
    <mergeCell ref="I7:J7"/>
  </mergeCells>
  <hyperlinks>
    <hyperlink ref="A1" location="Содержание прайса!A1" display="Вернуться в начало"/>
    <hyperlink ref="A1:E1" location="'Содержание прайса'!A1" display="Вернуться в начало"/>
  </hyperlinks>
  <printOptions horizontalCentered="1"/>
  <pageMargins left="0" right="0" top="0.47244094488188981" bottom="0" header="0" footer="0"/>
  <pageSetup paperSize="9" scale="67"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34</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M55"/>
  <sheetViews>
    <sheetView zoomScale="70" zoomScaleNormal="70" zoomScaleSheetLayoutView="70" workbookViewId="0">
      <selection activeCell="A3" sqref="A3:M3"/>
    </sheetView>
  </sheetViews>
  <sheetFormatPr defaultRowHeight="12.75"/>
  <cols>
    <col min="1" max="1" width="42.5703125" style="187" customWidth="1"/>
    <col min="2" max="2" width="41.7109375" style="46" customWidth="1"/>
    <col min="3" max="3" width="12.42578125" style="46" customWidth="1"/>
    <col min="4" max="4" width="10.85546875" style="46" customWidth="1"/>
    <col min="5" max="5" width="19.7109375" style="46" customWidth="1"/>
    <col min="6" max="6" width="29.42578125" style="46" customWidth="1"/>
    <col min="7" max="7" width="2.85546875" style="46" customWidth="1"/>
    <col min="8" max="8" width="43" style="46" customWidth="1"/>
    <col min="9" max="9" width="30.28515625" style="46" customWidth="1"/>
    <col min="10" max="10" width="14.140625" style="46" customWidth="1"/>
    <col min="11" max="11" width="10.7109375" style="46" customWidth="1"/>
    <col min="12" max="12" width="10.28515625" style="46" customWidth="1"/>
    <col min="13" max="13" width="11.7109375" style="46" customWidth="1"/>
    <col min="14" max="16384" width="9.140625" style="46"/>
  </cols>
  <sheetData>
    <row r="1" spans="1:13">
      <c r="A1" s="1666" t="s">
        <v>312</v>
      </c>
      <c r="B1" s="1666"/>
      <c r="C1" s="1666"/>
      <c r="D1" s="1666"/>
    </row>
    <row r="2" spans="1:13" ht="13.5" customHeight="1">
      <c r="A2" s="1"/>
      <c r="B2" s="1"/>
      <c r="C2" s="1"/>
      <c r="D2" s="1"/>
      <c r="E2" s="1"/>
      <c r="F2" s="1"/>
      <c r="I2" s="53"/>
      <c r="J2" s="53"/>
      <c r="L2" s="667" t="s">
        <v>313</v>
      </c>
      <c r="M2" s="1083">
        <v>43301</v>
      </c>
    </row>
    <row r="3" spans="1:13" ht="18.75" thickBot="1">
      <c r="A3" s="1763" t="s">
        <v>6457</v>
      </c>
      <c r="B3" s="1763"/>
      <c r="C3" s="1763"/>
      <c r="D3" s="1763"/>
      <c r="E3" s="1763"/>
      <c r="F3" s="1763"/>
      <c r="G3" s="1763"/>
      <c r="H3" s="1763"/>
      <c r="I3" s="1763"/>
      <c r="J3" s="1763"/>
      <c r="K3" s="1763"/>
      <c r="L3" s="1763"/>
      <c r="M3" s="1763"/>
    </row>
    <row r="4" spans="1:13">
      <c r="A4" s="486"/>
      <c r="B4" s="487"/>
      <c r="C4" s="113"/>
      <c r="D4" s="113"/>
      <c r="E4" s="113"/>
      <c r="F4" s="403"/>
      <c r="J4" s="1092"/>
      <c r="K4" s="1092"/>
      <c r="L4" s="1093" t="s">
        <v>804</v>
      </c>
      <c r="M4" s="1094">
        <v>43291</v>
      </c>
    </row>
    <row r="5" spans="1:13" s="317" customFormat="1" ht="27.75" customHeight="1">
      <c r="A5" s="2027" t="s">
        <v>2710</v>
      </c>
      <c r="B5" s="1352" t="s">
        <v>924</v>
      </c>
      <c r="C5" s="2033" t="s">
        <v>2711</v>
      </c>
      <c r="D5" s="2033" t="s">
        <v>1995</v>
      </c>
      <c r="E5" s="1398" t="s">
        <v>6736</v>
      </c>
      <c r="F5" s="1398"/>
      <c r="G5" s="403"/>
      <c r="H5" s="131" t="s">
        <v>2710</v>
      </c>
      <c r="I5" s="1352" t="s">
        <v>924</v>
      </c>
      <c r="J5" s="1352"/>
      <c r="K5" s="126" t="s">
        <v>2711</v>
      </c>
      <c r="L5" s="126" t="s">
        <v>1995</v>
      </c>
      <c r="M5" s="126" t="s">
        <v>3633</v>
      </c>
    </row>
    <row r="6" spans="1:13" s="1096" customFormat="1" ht="27.75" customHeight="1">
      <c r="A6" s="2028"/>
      <c r="B6" s="1352"/>
      <c r="C6" s="2034"/>
      <c r="D6" s="2034"/>
      <c r="E6" s="1198" t="s">
        <v>3546</v>
      </c>
      <c r="F6" s="1212" t="s">
        <v>6737</v>
      </c>
      <c r="G6" s="403"/>
      <c r="H6" s="165"/>
      <c r="I6" s="1195"/>
      <c r="J6" s="1196"/>
      <c r="K6" s="168"/>
      <c r="L6" s="168"/>
      <c r="M6" s="168"/>
    </row>
    <row r="7" spans="1:13" s="1096" customFormat="1" ht="43.5" customHeight="1">
      <c r="A7" s="122" t="s">
        <v>6458</v>
      </c>
      <c r="B7" s="288" t="s">
        <v>6459</v>
      </c>
      <c r="C7" s="103">
        <v>10</v>
      </c>
      <c r="D7" s="101" t="s">
        <v>6460</v>
      </c>
      <c r="E7" s="282">
        <f>ROUND(500*Belarus*(1-B51),2)</f>
        <v>500</v>
      </c>
      <c r="F7" s="282">
        <f>ROUND(549*Belarus*(1-B51),2)</f>
        <v>549</v>
      </c>
      <c r="G7" s="403"/>
      <c r="H7" s="1095" t="s">
        <v>6461</v>
      </c>
      <c r="I7" s="1365" t="s">
        <v>6459</v>
      </c>
      <c r="J7" s="1367"/>
      <c r="K7" s="103">
        <v>10</v>
      </c>
      <c r="L7" s="1088" t="s">
        <v>6462</v>
      </c>
      <c r="M7" s="282">
        <f>ROUND(449*Belarus*(1-B51),2)</f>
        <v>449</v>
      </c>
    </row>
    <row r="8" spans="1:13" s="1096" customFormat="1" ht="41.25" customHeight="1">
      <c r="A8" s="122" t="s">
        <v>6463</v>
      </c>
      <c r="B8" s="288" t="s">
        <v>6464</v>
      </c>
      <c r="C8" s="103">
        <v>10</v>
      </c>
      <c r="D8" s="101" t="s">
        <v>6465</v>
      </c>
      <c r="E8" s="282">
        <f>ROUND(500*Belarus*(1-B51),2)</f>
        <v>500</v>
      </c>
      <c r="F8" s="282">
        <f>ROUND(549*Belarus*(1-B51),2)</f>
        <v>549</v>
      </c>
      <c r="G8" s="403"/>
      <c r="H8" s="1095" t="s">
        <v>6466</v>
      </c>
      <c r="I8" s="1365" t="s">
        <v>6464</v>
      </c>
      <c r="J8" s="1367"/>
      <c r="K8" s="103">
        <v>10</v>
      </c>
      <c r="L8" s="1088" t="s">
        <v>6467</v>
      </c>
      <c r="M8" s="282">
        <f>ROUND(449*Belarus*(1-B51),2)</f>
        <v>449</v>
      </c>
    </row>
    <row r="9" spans="1:13" s="1096" customFormat="1" ht="42" customHeight="1">
      <c r="A9" s="122" t="s">
        <v>6468</v>
      </c>
      <c r="B9" s="288" t="s">
        <v>6469</v>
      </c>
      <c r="C9" s="103">
        <v>10</v>
      </c>
      <c r="D9" s="101" t="s">
        <v>6465</v>
      </c>
      <c r="E9" s="282">
        <f>ROUND(500*Belarus*(1-B51),2)</f>
        <v>500</v>
      </c>
      <c r="F9" s="282">
        <f>ROUND(549*Belarus*(1-B51),2)</f>
        <v>549</v>
      </c>
      <c r="G9" s="403"/>
      <c r="H9" s="1095" t="s">
        <v>6470</v>
      </c>
      <c r="I9" s="1365" t="s">
        <v>6469</v>
      </c>
      <c r="J9" s="1367"/>
      <c r="K9" s="103">
        <v>10</v>
      </c>
      <c r="L9" s="1088" t="s">
        <v>6467</v>
      </c>
      <c r="M9" s="282">
        <f>ROUND(449*Belarus*(1-B51),2)</f>
        <v>449</v>
      </c>
    </row>
    <row r="10" spans="1:13" s="317" customFormat="1" ht="41.25" customHeight="1">
      <c r="A10" s="122" t="s">
        <v>6471</v>
      </c>
      <c r="B10" s="288" t="s">
        <v>6472</v>
      </c>
      <c r="C10" s="101">
        <v>10</v>
      </c>
      <c r="D10" s="288" t="s">
        <v>6473</v>
      </c>
      <c r="E10" s="282">
        <f>ROUND(500*Belarus*(1-B51),2)</f>
        <v>500</v>
      </c>
      <c r="F10" s="282">
        <f>ROUND(549*Belarus*(1-B51),2)</f>
        <v>549</v>
      </c>
      <c r="G10" s="238"/>
      <c r="H10" s="1095" t="s">
        <v>6474</v>
      </c>
      <c r="I10" s="1365" t="s">
        <v>6472</v>
      </c>
      <c r="J10" s="1367"/>
      <c r="K10" s="101">
        <v>10</v>
      </c>
      <c r="L10" s="1088" t="s">
        <v>6475</v>
      </c>
      <c r="M10" s="282">
        <f>ROUND(449*Belarus*(1-B51),2)</f>
        <v>449</v>
      </c>
    </row>
    <row r="11" spans="1:13" ht="44.25" customHeight="1">
      <c r="A11" s="122" t="s">
        <v>6476</v>
      </c>
      <c r="B11" s="288" t="s">
        <v>6464</v>
      </c>
      <c r="C11" s="101">
        <v>10</v>
      </c>
      <c r="D11" s="101" t="s">
        <v>6465</v>
      </c>
      <c r="E11" s="282">
        <f>ROUND(500*Belarus*(1-B51),2)</f>
        <v>500</v>
      </c>
      <c r="F11" s="282">
        <f>ROUND(549*Belarus*(1-B51),2)</f>
        <v>549</v>
      </c>
      <c r="G11" s="113"/>
      <c r="H11" s="1095" t="s">
        <v>6477</v>
      </c>
      <c r="I11" s="1365" t="s">
        <v>6464</v>
      </c>
      <c r="J11" s="1367"/>
      <c r="K11" s="101">
        <v>10</v>
      </c>
      <c r="L11" s="1088" t="s">
        <v>6478</v>
      </c>
      <c r="M11" s="282">
        <f>ROUND(449*Belarus*(1-B51),2)</f>
        <v>449</v>
      </c>
    </row>
    <row r="12" spans="1:13" s="54" customFormat="1" ht="15" customHeight="1">
      <c r="A12" s="823"/>
      <c r="B12" s="1097"/>
      <c r="C12" s="1078"/>
      <c r="D12" s="1078"/>
      <c r="E12" s="1078"/>
      <c r="F12" s="1098"/>
      <c r="G12" s="1078"/>
      <c r="H12" s="1078"/>
      <c r="I12" s="1099"/>
      <c r="J12" s="1099"/>
      <c r="K12" s="1100"/>
      <c r="L12" s="1100"/>
      <c r="M12" s="1101"/>
    </row>
    <row r="13" spans="1:13" ht="78.75" customHeight="1">
      <c r="A13" s="1539"/>
      <c r="B13" s="1539"/>
      <c r="C13" s="1539"/>
      <c r="D13" s="1539"/>
      <c r="E13" s="1539"/>
      <c r="F13" s="1539"/>
      <c r="G13" s="1539"/>
      <c r="H13" s="1539"/>
      <c r="I13" s="1539"/>
      <c r="J13" s="1539"/>
      <c r="K13" s="1539"/>
      <c r="L13" s="1539"/>
      <c r="M13" s="1539"/>
    </row>
    <row r="14" spans="1:13">
      <c r="A14" s="486"/>
      <c r="B14" s="487"/>
      <c r="C14" s="113"/>
      <c r="D14" s="113"/>
      <c r="E14" s="113"/>
      <c r="F14" s="403"/>
      <c r="I14" s="496"/>
      <c r="J14" s="496"/>
      <c r="K14" s="496"/>
      <c r="L14" s="497"/>
      <c r="M14" s="497"/>
    </row>
    <row r="15" spans="1:13" ht="18.75" thickBot="1">
      <c r="A15" s="1273" t="s">
        <v>6479</v>
      </c>
      <c r="B15" s="1273"/>
      <c r="C15" s="1273"/>
      <c r="D15" s="1273"/>
      <c r="E15" s="1273"/>
      <c r="F15" s="1273"/>
      <c r="G15" s="1273"/>
      <c r="H15" s="1273"/>
      <c r="I15" s="1273"/>
      <c r="J15" s="1273"/>
      <c r="K15" s="1273"/>
      <c r="L15" s="1273"/>
      <c r="M15" s="1273"/>
    </row>
    <row r="16" spans="1:13">
      <c r="A16" s="486"/>
      <c r="B16" s="487"/>
      <c r="C16" s="113"/>
      <c r="D16" s="113"/>
      <c r="E16" s="113"/>
      <c r="F16" s="403"/>
      <c r="I16" s="2497" t="s">
        <v>804</v>
      </c>
      <c r="J16" s="2497"/>
      <c r="K16" s="2498"/>
      <c r="L16" s="2499">
        <v>43244</v>
      </c>
      <c r="M16" s="2500"/>
    </row>
    <row r="17" spans="1:13" ht="25.5">
      <c r="A17" s="131" t="s">
        <v>2710</v>
      </c>
      <c r="B17" s="1352" t="s">
        <v>924</v>
      </c>
      <c r="C17" s="1352"/>
      <c r="D17" s="126" t="s">
        <v>2711</v>
      </c>
      <c r="E17" s="131" t="s">
        <v>1073</v>
      </c>
      <c r="F17" s="126" t="s">
        <v>2712</v>
      </c>
      <c r="H17" s="131" t="s">
        <v>2710</v>
      </c>
      <c r="I17" s="1352" t="s">
        <v>924</v>
      </c>
      <c r="J17" s="1352"/>
      <c r="K17" s="131" t="s">
        <v>1073</v>
      </c>
      <c r="L17" s="126" t="s">
        <v>2711</v>
      </c>
      <c r="M17" s="126" t="s">
        <v>2712</v>
      </c>
    </row>
    <row r="18" spans="1:13">
      <c r="A18" s="1352" t="s">
        <v>2713</v>
      </c>
      <c r="B18" s="1352"/>
      <c r="C18" s="1352"/>
      <c r="D18" s="1352"/>
      <c r="E18" s="1352"/>
      <c r="F18" s="1352"/>
      <c r="H18" s="1352" t="s">
        <v>966</v>
      </c>
      <c r="I18" s="1352"/>
      <c r="J18" s="1352"/>
      <c r="K18" s="1352"/>
      <c r="L18" s="1352"/>
      <c r="M18" s="1352"/>
    </row>
    <row r="19" spans="1:13" ht="13.5" customHeight="1">
      <c r="A19" s="2501" t="s">
        <v>2714</v>
      </c>
      <c r="B19" s="1418" t="s">
        <v>2717</v>
      </c>
      <c r="C19" s="1420"/>
      <c r="D19" s="1765">
        <v>10</v>
      </c>
      <c r="E19" s="1765" t="s">
        <v>2715</v>
      </c>
      <c r="F19" s="2502">
        <f>ROUND(533*Belarus*(1-B52),2)</f>
        <v>533</v>
      </c>
      <c r="H19" s="2505" t="s">
        <v>2716</v>
      </c>
      <c r="I19" s="1418" t="s">
        <v>2717</v>
      </c>
      <c r="J19" s="1420"/>
      <c r="K19" s="1900" t="s">
        <v>2718</v>
      </c>
      <c r="L19" s="1891">
        <v>1</v>
      </c>
      <c r="M19" s="2010">
        <f>ROUND(500*Belarus*(1-B52),2)</f>
        <v>500</v>
      </c>
    </row>
    <row r="20" spans="1:13" ht="13.5" customHeight="1">
      <c r="A20" s="2501"/>
      <c r="B20" s="1421"/>
      <c r="C20" s="1423"/>
      <c r="D20" s="1455"/>
      <c r="E20" s="1455"/>
      <c r="F20" s="2503"/>
      <c r="H20" s="2506"/>
      <c r="I20" s="1421"/>
      <c r="J20" s="1423"/>
      <c r="K20" s="1997"/>
      <c r="L20" s="1892"/>
      <c r="M20" s="2010"/>
    </row>
    <row r="21" spans="1:13" ht="13.5" customHeight="1">
      <c r="A21" s="2501"/>
      <c r="B21" s="1424"/>
      <c r="C21" s="1426"/>
      <c r="D21" s="1456"/>
      <c r="E21" s="1456"/>
      <c r="F21" s="2504"/>
      <c r="H21" s="2507"/>
      <c r="I21" s="1424"/>
      <c r="J21" s="1426"/>
      <c r="K21" s="1997"/>
      <c r="L21" s="1892"/>
      <c r="M21" s="2010"/>
    </row>
    <row r="22" spans="1:13" ht="13.5" customHeight="1">
      <c r="A22" s="2501" t="s">
        <v>2719</v>
      </c>
      <c r="B22" s="1418" t="s">
        <v>6480</v>
      </c>
      <c r="C22" s="1420"/>
      <c r="D22" s="1765">
        <v>10</v>
      </c>
      <c r="E22" s="1765" t="s">
        <v>2715</v>
      </c>
      <c r="F22" s="2502">
        <f>ROUND(533*Belarus*(1-B52),2)</f>
        <v>533</v>
      </c>
      <c r="H22" s="2505" t="s">
        <v>2720</v>
      </c>
      <c r="I22" s="1418" t="s">
        <v>2721</v>
      </c>
      <c r="J22" s="1420"/>
      <c r="K22" s="1997"/>
      <c r="L22" s="1892"/>
      <c r="M22" s="2010"/>
    </row>
    <row r="23" spans="1:13" ht="13.5" customHeight="1">
      <c r="A23" s="2501"/>
      <c r="B23" s="1421"/>
      <c r="C23" s="1423"/>
      <c r="D23" s="1455"/>
      <c r="E23" s="1455"/>
      <c r="F23" s="2503"/>
      <c r="H23" s="2506"/>
      <c r="I23" s="1421"/>
      <c r="J23" s="1423"/>
      <c r="K23" s="1997"/>
      <c r="L23" s="1892"/>
      <c r="M23" s="2010"/>
    </row>
    <row r="24" spans="1:13" ht="13.5" customHeight="1">
      <c r="A24" s="2501"/>
      <c r="B24" s="1424"/>
      <c r="C24" s="1426"/>
      <c r="D24" s="1456"/>
      <c r="E24" s="1456"/>
      <c r="F24" s="2504"/>
      <c r="H24" s="2507"/>
      <c r="I24" s="1424"/>
      <c r="J24" s="1426"/>
      <c r="K24" s="1901"/>
      <c r="L24" s="1893"/>
      <c r="M24" s="2010"/>
    </row>
    <row r="25" spans="1:13" ht="12.75" customHeight="1">
      <c r="A25" s="1352" t="s">
        <v>966</v>
      </c>
      <c r="B25" s="1352"/>
      <c r="C25" s="1352"/>
      <c r="D25" s="1352"/>
      <c r="E25" s="1352"/>
      <c r="F25" s="1352"/>
      <c r="H25" s="2505" t="s">
        <v>2722</v>
      </c>
      <c r="I25" s="1418" t="s">
        <v>2717</v>
      </c>
      <c r="J25" s="1420"/>
      <c r="K25" s="1900" t="s">
        <v>2718</v>
      </c>
      <c r="L25" s="1891">
        <v>1</v>
      </c>
      <c r="M25" s="2010">
        <f>ROUND(500*Belarus*(1-B52),2)</f>
        <v>500</v>
      </c>
    </row>
    <row r="26" spans="1:13" ht="30" customHeight="1">
      <c r="A26" s="1330" t="s">
        <v>2723</v>
      </c>
      <c r="B26" s="1330"/>
      <c r="C26" s="1330"/>
      <c r="D26" s="291">
        <v>10</v>
      </c>
      <c r="E26" s="291" t="s">
        <v>2724</v>
      </c>
      <c r="F26" s="1069">
        <f>ROUND(378*Belarus*(1-B52),2)</f>
        <v>378</v>
      </c>
      <c r="H26" s="2507"/>
      <c r="I26" s="1421"/>
      <c r="J26" s="1423"/>
      <c r="K26" s="1997"/>
      <c r="L26" s="1892"/>
      <c r="M26" s="2010"/>
    </row>
    <row r="27" spans="1:13" ht="19.5" customHeight="1">
      <c r="A27" s="498" t="s">
        <v>2725</v>
      </c>
      <c r="B27" s="1296" t="s">
        <v>2726</v>
      </c>
      <c r="C27" s="1296"/>
      <c r="D27" s="291">
        <v>10</v>
      </c>
      <c r="E27" s="291" t="s">
        <v>2724</v>
      </c>
      <c r="F27" s="1069">
        <f>ROUND(378*Belarus*(1-B52),2)</f>
        <v>378</v>
      </c>
      <c r="H27" s="2505" t="s">
        <v>2727</v>
      </c>
      <c r="I27" s="1418" t="s">
        <v>2721</v>
      </c>
      <c r="J27" s="1420"/>
      <c r="K27" s="1997"/>
      <c r="L27" s="1892"/>
      <c r="M27" s="2010"/>
    </row>
    <row r="28" spans="1:13">
      <c r="A28" s="1718" t="s">
        <v>2728</v>
      </c>
      <c r="B28" s="1718"/>
      <c r="C28" s="1718"/>
      <c r="D28" s="1718"/>
      <c r="E28" s="1718"/>
      <c r="F28" s="1718"/>
      <c r="H28" s="2506"/>
      <c r="I28" s="1421"/>
      <c r="J28" s="1423"/>
      <c r="K28" s="1997"/>
      <c r="L28" s="1892"/>
      <c r="M28" s="2010"/>
    </row>
    <row r="29" spans="1:13">
      <c r="A29" s="1718" t="s">
        <v>2106</v>
      </c>
      <c r="B29" s="1718"/>
      <c r="C29" s="1718"/>
      <c r="D29" s="1718"/>
      <c r="E29" s="1718"/>
      <c r="F29" s="1718"/>
      <c r="H29" s="2507"/>
      <c r="I29" s="1424"/>
      <c r="J29" s="1426"/>
      <c r="K29" s="1901"/>
      <c r="L29" s="1893"/>
      <c r="M29" s="2010"/>
    </row>
    <row r="30" spans="1:13">
      <c r="A30" s="46"/>
      <c r="I30" s="499"/>
      <c r="J30" s="499"/>
      <c r="K30" s="499"/>
      <c r="L30" s="499"/>
      <c r="M30" s="499"/>
    </row>
    <row r="31" spans="1:13" ht="15" customHeight="1">
      <c r="A31" s="1352" t="s">
        <v>2729</v>
      </c>
      <c r="B31" s="1352"/>
      <c r="C31" s="1352"/>
      <c r="D31" s="1352"/>
      <c r="E31" s="1352"/>
      <c r="F31" s="1352"/>
      <c r="H31" s="1352" t="s">
        <v>2730</v>
      </c>
      <c r="I31" s="1352"/>
      <c r="J31" s="1352"/>
      <c r="K31" s="1352"/>
      <c r="L31" s="1352"/>
      <c r="M31" s="1352"/>
    </row>
    <row r="32" spans="1:13" ht="79.5" customHeight="1">
      <c r="A32" s="2056"/>
      <c r="B32" s="2056"/>
      <c r="C32" s="2056"/>
      <c r="D32" s="2056"/>
      <c r="E32" s="2056"/>
      <c r="F32" s="2056"/>
      <c r="H32" s="1618"/>
      <c r="I32" s="1618"/>
      <c r="J32" s="1618"/>
      <c r="K32" s="1618"/>
      <c r="L32" s="1618"/>
      <c r="M32" s="1618"/>
    </row>
    <row r="33" spans="1:13">
      <c r="A33" s="1"/>
      <c r="B33" s="1"/>
      <c r="C33" s="1"/>
      <c r="D33" s="1"/>
      <c r="E33" s="1"/>
      <c r="F33" s="1"/>
      <c r="I33" s="499"/>
      <c r="J33" s="499"/>
      <c r="K33" s="499"/>
      <c r="L33" s="499"/>
      <c r="M33" s="499"/>
    </row>
    <row r="34" spans="1:13" ht="18.75" thickBot="1">
      <c r="A34" s="1273" t="s">
        <v>6481</v>
      </c>
      <c r="B34" s="1273"/>
      <c r="C34" s="1273"/>
      <c r="D34" s="1273"/>
      <c r="E34" s="1273"/>
      <c r="F34" s="1273"/>
      <c r="G34" s="1273"/>
      <c r="H34" s="1273"/>
      <c r="I34" s="1273"/>
      <c r="J34" s="1273"/>
      <c r="K34" s="1273"/>
      <c r="L34" s="1273"/>
      <c r="M34" s="1273"/>
    </row>
    <row r="35" spans="1:13">
      <c r="B35" s="488"/>
      <c r="C35" s="488"/>
      <c r="D35" s="489" t="s">
        <v>804</v>
      </c>
      <c r="E35" s="2508">
        <v>43301</v>
      </c>
      <c r="F35" s="2508"/>
    </row>
    <row r="36" spans="1:13">
      <c r="A36" s="2509" t="s">
        <v>307</v>
      </c>
      <c r="B36" s="2509" t="s">
        <v>924</v>
      </c>
      <c r="C36" s="2509" t="s">
        <v>1073</v>
      </c>
      <c r="D36" s="2509" t="s">
        <v>2731</v>
      </c>
      <c r="E36" s="1398" t="s">
        <v>6736</v>
      </c>
      <c r="F36" s="1398"/>
      <c r="H36" s="2511"/>
      <c r="I36" s="2512"/>
      <c r="J36" s="2512"/>
      <c r="K36" s="2512"/>
      <c r="L36" s="2512"/>
      <c r="M36" s="2513"/>
    </row>
    <row r="37" spans="1:13" ht="38.25">
      <c r="A37" s="2510"/>
      <c r="B37" s="2510"/>
      <c r="C37" s="2510"/>
      <c r="D37" s="2510"/>
      <c r="E37" s="1219" t="s">
        <v>6908</v>
      </c>
      <c r="F37" s="1212" t="s">
        <v>3608</v>
      </c>
      <c r="H37" s="2514"/>
      <c r="I37" s="2515"/>
      <c r="J37" s="2515"/>
      <c r="K37" s="2515"/>
      <c r="L37" s="2515"/>
      <c r="M37" s="2516"/>
    </row>
    <row r="38" spans="1:13" ht="55.5" customHeight="1">
      <c r="A38" s="314" t="s">
        <v>2732</v>
      </c>
      <c r="B38" s="124" t="s">
        <v>3558</v>
      </c>
      <c r="C38" s="44" t="s">
        <v>6909</v>
      </c>
      <c r="D38" s="43" t="s">
        <v>628</v>
      </c>
      <c r="E38" s="348">
        <f>ROUND(445.69*Belarus*(1-B53),2)</f>
        <v>445.69</v>
      </c>
      <c r="F38" s="348">
        <f>ROUND(459.06*Belarus*(1-B53),2)</f>
        <v>459.06</v>
      </c>
      <c r="H38" s="2514"/>
      <c r="I38" s="2515"/>
      <c r="J38" s="2515"/>
      <c r="K38" s="2515"/>
      <c r="L38" s="2515"/>
      <c r="M38" s="2516"/>
    </row>
    <row r="39" spans="1:13" ht="14.25" customHeight="1">
      <c r="A39" s="314" t="s">
        <v>2733</v>
      </c>
      <c r="B39" s="1995" t="s">
        <v>3557</v>
      </c>
      <c r="C39" s="1900" t="s">
        <v>2734</v>
      </c>
      <c r="D39" s="1891" t="s">
        <v>845</v>
      </c>
      <c r="E39" s="2517">
        <f>ROUND(470*Belarus*(1-B54),2)</f>
        <v>470</v>
      </c>
      <c r="F39" s="2517">
        <f>ROUND(470*Belarus*(1-B54),2)</f>
        <v>470</v>
      </c>
      <c r="H39" s="812" t="s">
        <v>4089</v>
      </c>
      <c r="I39" s="812"/>
      <c r="J39" s="812"/>
      <c r="K39" s="812"/>
      <c r="L39" s="812"/>
      <c r="M39" s="812"/>
    </row>
    <row r="40" spans="1:13" ht="18.75" customHeight="1">
      <c r="A40" s="314" t="s">
        <v>2735</v>
      </c>
      <c r="B40" s="1996"/>
      <c r="C40" s="1901"/>
      <c r="D40" s="1893"/>
      <c r="E40" s="2518"/>
      <c r="F40" s="2518"/>
      <c r="G40" s="1"/>
      <c r="H40" s="811"/>
      <c r="I40" s="811"/>
      <c r="J40" s="811"/>
      <c r="K40" s="811"/>
      <c r="L40" s="811"/>
      <c r="M40" s="811"/>
    </row>
    <row r="41" spans="1:13" ht="27.75" customHeight="1">
      <c r="A41" s="314" t="s">
        <v>2736</v>
      </c>
      <c r="B41" s="2001"/>
      <c r="C41" s="44" t="s">
        <v>2737</v>
      </c>
      <c r="D41" s="43" t="s">
        <v>845</v>
      </c>
      <c r="E41" s="348">
        <f>ROUND(705*Belarus*(1-B54),2)</f>
        <v>705</v>
      </c>
      <c r="F41" s="348">
        <f>ROUND(705*Belarus*(1-B54),2)</f>
        <v>705</v>
      </c>
      <c r="G41" s="1"/>
      <c r="H41" s="1422" t="s">
        <v>2106</v>
      </c>
      <c r="I41" s="1422"/>
      <c r="J41" s="1422"/>
      <c r="K41" s="1422"/>
      <c r="L41" s="1422"/>
      <c r="M41" s="1422"/>
    </row>
    <row r="42" spans="1:13">
      <c r="A42" s="46"/>
      <c r="H42" s="320"/>
      <c r="I42" s="320"/>
      <c r="J42" s="320"/>
      <c r="K42" s="320"/>
      <c r="L42" s="96"/>
      <c r="M42" s="96"/>
    </row>
    <row r="43" spans="1:13">
      <c r="A43" s="1491" t="s">
        <v>2553</v>
      </c>
      <c r="B43" s="1491"/>
      <c r="C43" s="1491"/>
      <c r="D43" s="1491"/>
      <c r="E43" s="1491"/>
      <c r="F43" s="1491"/>
      <c r="G43" s="1491"/>
      <c r="H43" s="1491"/>
      <c r="I43" s="1491"/>
      <c r="J43" s="1491"/>
      <c r="K43" s="1491"/>
      <c r="L43" s="1491"/>
      <c r="M43" s="1491"/>
    </row>
    <row r="44" spans="1:13" ht="15">
      <c r="A44" s="1352" t="s">
        <v>307</v>
      </c>
      <c r="B44" s="2224"/>
      <c r="C44" s="1352" t="s">
        <v>2554</v>
      </c>
      <c r="D44" s="1352"/>
      <c r="E44" s="1352"/>
      <c r="F44" s="1352"/>
      <c r="G44" s="1352"/>
      <c r="H44" s="1352"/>
      <c r="I44" s="1352" t="s">
        <v>284</v>
      </c>
      <c r="J44" s="2224"/>
      <c r="K44" s="2224"/>
      <c r="L44" s="1352" t="s">
        <v>2276</v>
      </c>
      <c r="M44" s="1352"/>
    </row>
    <row r="45" spans="1:13" ht="12.75" customHeight="1">
      <c r="A45" s="1280" t="s">
        <v>2645</v>
      </c>
      <c r="B45" s="1280"/>
      <c r="C45" s="1280" t="s">
        <v>2556</v>
      </c>
      <c r="D45" s="1280"/>
      <c r="E45" s="1280"/>
      <c r="F45" s="1280"/>
      <c r="G45" s="1280"/>
      <c r="H45" s="1280"/>
      <c r="I45" s="1281" t="s">
        <v>2557</v>
      </c>
      <c r="J45" s="1281"/>
      <c r="K45" s="1281"/>
      <c r="L45" s="2385">
        <f>2500*Belarus</f>
        <v>2500</v>
      </c>
      <c r="M45" s="2385"/>
    </row>
    <row r="46" spans="1:13" ht="12.75" customHeight="1">
      <c r="A46" s="1280" t="s">
        <v>2646</v>
      </c>
      <c r="B46" s="1280"/>
      <c r="C46" s="1280" t="s">
        <v>2560</v>
      </c>
      <c r="D46" s="1280"/>
      <c r="E46" s="1280"/>
      <c r="F46" s="1280"/>
      <c r="G46" s="1280"/>
      <c r="H46" s="1280"/>
      <c r="I46" s="1281" t="s">
        <v>2561</v>
      </c>
      <c r="J46" s="1281"/>
      <c r="K46" s="1281"/>
      <c r="L46" s="2385">
        <f>1560*Belarus</f>
        <v>1560</v>
      </c>
      <c r="M46" s="2385"/>
    </row>
    <row r="47" spans="1:13">
      <c r="A47" s="46"/>
    </row>
    <row r="49" spans="1:2">
      <c r="A49" s="2519" t="s">
        <v>1835</v>
      </c>
      <c r="B49" s="2519"/>
    </row>
    <row r="50" spans="1:2">
      <c r="A50" s="2519"/>
      <c r="B50" s="2519"/>
    </row>
    <row r="51" spans="1:2">
      <c r="A51" s="500" t="s">
        <v>6482</v>
      </c>
      <c r="B51" s="129">
        <v>0</v>
      </c>
    </row>
    <row r="52" spans="1:2">
      <c r="A52" s="500" t="s">
        <v>2738</v>
      </c>
      <c r="B52" s="129">
        <v>0</v>
      </c>
    </row>
    <row r="53" spans="1:2">
      <c r="A53" s="500" t="s">
        <v>2739</v>
      </c>
      <c r="B53" s="129">
        <v>0</v>
      </c>
    </row>
    <row r="54" spans="1:2">
      <c r="A54" s="500" t="s">
        <v>2740</v>
      </c>
      <c r="B54" s="129">
        <v>0</v>
      </c>
    </row>
    <row r="55" spans="1:2">
      <c r="A55" s="500" t="s">
        <v>2741</v>
      </c>
      <c r="B55" s="129">
        <v>0</v>
      </c>
    </row>
  </sheetData>
  <sheetProtection selectLockedCells="1" selectUnlockedCells="1"/>
  <mergeCells count="82">
    <mergeCell ref="A46:B46"/>
    <mergeCell ref="C46:H46"/>
    <mergeCell ref="I46:K46"/>
    <mergeCell ref="L46:M46"/>
    <mergeCell ref="A49:B50"/>
    <mergeCell ref="A43:M43"/>
    <mergeCell ref="A44:B44"/>
    <mergeCell ref="C44:H44"/>
    <mergeCell ref="I44:K44"/>
    <mergeCell ref="L44:M44"/>
    <mergeCell ref="A45:B45"/>
    <mergeCell ref="C45:H45"/>
    <mergeCell ref="I45:K45"/>
    <mergeCell ref="L45:M45"/>
    <mergeCell ref="B39:B41"/>
    <mergeCell ref="C39:C40"/>
    <mergeCell ref="D39:D40"/>
    <mergeCell ref="E39:E40"/>
    <mergeCell ref="F39:F40"/>
    <mergeCell ref="H41:M41"/>
    <mergeCell ref="A36:A37"/>
    <mergeCell ref="B36:B37"/>
    <mergeCell ref="C36:C37"/>
    <mergeCell ref="D36:D37"/>
    <mergeCell ref="E36:F36"/>
    <mergeCell ref="H36:M38"/>
    <mergeCell ref="A31:F31"/>
    <mergeCell ref="H31:M31"/>
    <mergeCell ref="A32:F32"/>
    <mergeCell ref="H32:M32"/>
    <mergeCell ref="A34:M34"/>
    <mergeCell ref="E35:F35"/>
    <mergeCell ref="M25:M29"/>
    <mergeCell ref="A26:C26"/>
    <mergeCell ref="B27:C27"/>
    <mergeCell ref="H27:H29"/>
    <mergeCell ref="I27:J29"/>
    <mergeCell ref="A28:F28"/>
    <mergeCell ref="A29:F29"/>
    <mergeCell ref="I22:J24"/>
    <mergeCell ref="A25:F25"/>
    <mergeCell ref="H25:H26"/>
    <mergeCell ref="I25:J26"/>
    <mergeCell ref="K25:K29"/>
    <mergeCell ref="L25:L29"/>
    <mergeCell ref="I19:J21"/>
    <mergeCell ref="K19:K24"/>
    <mergeCell ref="L19:L24"/>
    <mergeCell ref="M19:M24"/>
    <mergeCell ref="A22:A24"/>
    <mergeCell ref="B22:C24"/>
    <mergeCell ref="D22:D24"/>
    <mergeCell ref="E22:E24"/>
    <mergeCell ref="F22:F24"/>
    <mergeCell ref="H22:H24"/>
    <mergeCell ref="A19:A21"/>
    <mergeCell ref="B19:C21"/>
    <mergeCell ref="D19:D21"/>
    <mergeCell ref="E19:E21"/>
    <mergeCell ref="F19:F21"/>
    <mergeCell ref="H19:H21"/>
    <mergeCell ref="A15:M15"/>
    <mergeCell ref="I16:K16"/>
    <mergeCell ref="L16:M16"/>
    <mergeCell ref="B17:C17"/>
    <mergeCell ref="I17:J17"/>
    <mergeCell ref="A18:F18"/>
    <mergeCell ref="H18:M18"/>
    <mergeCell ref="I7:J7"/>
    <mergeCell ref="I8:J8"/>
    <mergeCell ref="I9:J9"/>
    <mergeCell ref="I10:J10"/>
    <mergeCell ref="I11:J11"/>
    <mergeCell ref="A13:M13"/>
    <mergeCell ref="A1:D1"/>
    <mergeCell ref="A3:M3"/>
    <mergeCell ref="A5:A6"/>
    <mergeCell ref="B5:B6"/>
    <mergeCell ref="C5:C6"/>
    <mergeCell ref="D5:D6"/>
    <mergeCell ref="E5:F5"/>
    <mergeCell ref="I5:J5"/>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50"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35</oddFooter>
  </headerFooter>
  <drawing r:id="rId2"/>
  <legacyDrawingHF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P73"/>
  <sheetViews>
    <sheetView zoomScale="70" zoomScaleNormal="70" workbookViewId="0">
      <selection activeCell="A3" sqref="A3:P3"/>
    </sheetView>
  </sheetViews>
  <sheetFormatPr defaultRowHeight="12.75"/>
  <cols>
    <col min="1" max="1" width="20.42578125" style="501" customWidth="1"/>
    <col min="2" max="2" width="35.7109375" style="501" customWidth="1"/>
    <col min="3" max="3" width="22.7109375" style="501" customWidth="1"/>
    <col min="4" max="4" width="18.7109375" style="501" customWidth="1"/>
    <col min="5" max="5" width="24" style="501" customWidth="1"/>
    <col min="6" max="6" width="15.28515625" style="501" customWidth="1"/>
    <col min="7" max="7" width="9.28515625" style="501" customWidth="1"/>
    <col min="8" max="8" width="8.42578125" style="501" customWidth="1"/>
    <col min="9" max="9" width="20.28515625" style="501" customWidth="1"/>
    <col min="10" max="10" width="35.7109375" style="501" customWidth="1"/>
    <col min="11" max="11" width="22.5703125" style="501" customWidth="1"/>
    <col min="12" max="12" width="18.85546875" style="501" customWidth="1"/>
    <col min="13" max="13" width="24" style="501" customWidth="1"/>
    <col min="14" max="14" width="15.7109375" style="501" customWidth="1"/>
    <col min="15" max="15" width="9.42578125" style="501" customWidth="1"/>
    <col min="16" max="16" width="8.42578125" style="46" customWidth="1"/>
    <col min="17" max="16384" width="9.140625" style="46"/>
  </cols>
  <sheetData>
    <row r="1" spans="1:16" s="501" customFormat="1">
      <c r="A1" s="1666" t="s">
        <v>312</v>
      </c>
      <c r="B1" s="1666"/>
      <c r="C1" s="1666"/>
      <c r="E1" s="502"/>
      <c r="F1" s="502"/>
      <c r="G1" s="502"/>
      <c r="H1" s="502"/>
      <c r="I1" s="502"/>
      <c r="J1" s="502"/>
      <c r="K1" s="502"/>
      <c r="L1" s="502"/>
      <c r="M1" s="502"/>
      <c r="N1" s="502"/>
      <c r="O1" s="502"/>
      <c r="P1" s="502"/>
    </row>
    <row r="2" spans="1:16" s="501" customFormat="1" ht="15" customHeight="1">
      <c r="A2" s="1"/>
      <c r="B2" s="46"/>
      <c r="C2" s="1"/>
      <c r="E2" s="502"/>
      <c r="F2" s="502"/>
      <c r="G2" s="502"/>
      <c r="H2" s="502"/>
      <c r="I2" s="502"/>
      <c r="J2" s="502"/>
      <c r="K2" s="502"/>
      <c r="N2" s="502" t="s">
        <v>313</v>
      </c>
      <c r="O2" s="2536">
        <v>43286</v>
      </c>
      <c r="P2" s="2536"/>
    </row>
    <row r="3" spans="1:16" s="501" customFormat="1" ht="15.75" customHeight="1" thickBot="1">
      <c r="A3" s="1851" t="s">
        <v>6489</v>
      </c>
      <c r="B3" s="1851"/>
      <c r="C3" s="1851"/>
      <c r="D3" s="1851"/>
      <c r="E3" s="1851"/>
      <c r="F3" s="1851"/>
      <c r="G3" s="1851"/>
      <c r="H3" s="1851"/>
      <c r="I3" s="1851"/>
      <c r="J3" s="1851"/>
      <c r="K3" s="1851"/>
      <c r="L3" s="1851"/>
      <c r="M3" s="1851"/>
      <c r="N3" s="1851"/>
      <c r="O3" s="1851"/>
      <c r="P3" s="1851"/>
    </row>
    <row r="4" spans="1:16" s="501" customFormat="1" ht="15" customHeight="1">
      <c r="C4" s="503"/>
      <c r="D4" s="503"/>
      <c r="G4" s="504"/>
      <c r="H4" s="504"/>
      <c r="N4" s="505" t="s">
        <v>804</v>
      </c>
      <c r="O4" s="2526">
        <v>43238</v>
      </c>
      <c r="P4" s="2526"/>
    </row>
    <row r="5" spans="1:16" s="501" customFormat="1" ht="11.25" customHeight="1">
      <c r="A5" s="1629" t="s">
        <v>1547</v>
      </c>
      <c r="B5" s="1629" t="s">
        <v>307</v>
      </c>
      <c r="C5" s="1629" t="s">
        <v>284</v>
      </c>
      <c r="D5" s="1629"/>
      <c r="E5" s="1629"/>
      <c r="F5" s="1794" t="s">
        <v>1073</v>
      </c>
      <c r="G5" s="1629" t="s">
        <v>422</v>
      </c>
      <c r="H5" s="1629"/>
      <c r="I5" s="1629" t="s">
        <v>1547</v>
      </c>
      <c r="J5" s="1629" t="s">
        <v>307</v>
      </c>
      <c r="K5" s="1629" t="s">
        <v>284</v>
      </c>
      <c r="L5" s="1629"/>
      <c r="M5" s="1629"/>
      <c r="N5" s="1794" t="s">
        <v>1073</v>
      </c>
      <c r="O5" s="1629" t="s">
        <v>422</v>
      </c>
      <c r="P5" s="1629"/>
    </row>
    <row r="6" spans="1:16" s="501" customFormat="1" ht="12.75" customHeight="1">
      <c r="A6" s="1629"/>
      <c r="B6" s="1629"/>
      <c r="C6" s="1629"/>
      <c r="D6" s="1629"/>
      <c r="E6" s="1629"/>
      <c r="F6" s="1794"/>
      <c r="G6" s="40" t="s">
        <v>2742</v>
      </c>
      <c r="H6" s="40" t="s">
        <v>2743</v>
      </c>
      <c r="I6" s="1629"/>
      <c r="J6" s="1629"/>
      <c r="K6" s="1629"/>
      <c r="L6" s="1629"/>
      <c r="M6" s="1629"/>
      <c r="N6" s="1794"/>
      <c r="O6" s="40" t="s">
        <v>2742</v>
      </c>
      <c r="P6" s="40" t="s">
        <v>2743</v>
      </c>
    </row>
    <row r="7" spans="1:16" s="501" customFormat="1" ht="84.75" customHeight="1">
      <c r="A7" s="432"/>
      <c r="B7" s="813" t="s">
        <v>6579</v>
      </c>
      <c r="C7" s="2119" t="s">
        <v>6580</v>
      </c>
      <c r="D7" s="2119"/>
      <c r="E7" s="2119"/>
      <c r="F7" s="2146" t="s">
        <v>6581</v>
      </c>
      <c r="G7" s="348">
        <f>ROUND(((H7/Belarus)/(0.19*3.6))*Belarus*(1-B53),2)</f>
        <v>1239.77</v>
      </c>
      <c r="H7" s="352">
        <f>ROUND(848*Belarus*(1-B53),2)</f>
        <v>848</v>
      </c>
      <c r="I7" s="432"/>
      <c r="J7" s="813" t="s">
        <v>6582</v>
      </c>
      <c r="K7" s="2169" t="s">
        <v>6583</v>
      </c>
      <c r="L7" s="2170"/>
      <c r="M7" s="2187"/>
      <c r="N7" s="2151" t="s">
        <v>6584</v>
      </c>
      <c r="O7" s="352">
        <f>ROUND(((P7/Belarus)/(0.186*3.6))*Belarus*(1-B53),2)</f>
        <v>1807.05</v>
      </c>
      <c r="P7" s="352">
        <f>ROUND(1210*Belarus*(1-B53),2)</f>
        <v>1210</v>
      </c>
    </row>
    <row r="8" spans="1:16" s="501" customFormat="1" ht="84.75" customHeight="1">
      <c r="A8" s="294"/>
      <c r="B8" s="813" t="s">
        <v>6585</v>
      </c>
      <c r="C8" s="2119" t="s">
        <v>6586</v>
      </c>
      <c r="D8" s="2119"/>
      <c r="E8" s="2119"/>
      <c r="F8" s="2147"/>
      <c r="G8" s="348">
        <f>ROUND(((H8/Belarus)/(0.19*3.6))*Belarus*(1-B53),2)</f>
        <v>1482.46</v>
      </c>
      <c r="H8" s="348">
        <f>ROUND(1014*Belarus*(1-B53),2)</f>
        <v>1014</v>
      </c>
      <c r="I8" s="294"/>
      <c r="J8" s="813" t="s">
        <v>6587</v>
      </c>
      <c r="K8" s="2169" t="s">
        <v>6588</v>
      </c>
      <c r="L8" s="2170"/>
      <c r="M8" s="2187"/>
      <c r="N8" s="2152"/>
      <c r="O8" s="352">
        <f>ROUND(((P8/Belarus)/(0.186*3.6))*Belarus*(1-B53),2)</f>
        <v>2066.91</v>
      </c>
      <c r="P8" s="352">
        <f>ROUND(1384*Belarus*(1-B53),2)</f>
        <v>1384</v>
      </c>
    </row>
    <row r="9" spans="1:16" s="501" customFormat="1" ht="14.25" customHeight="1">
      <c r="A9" s="1812" t="s">
        <v>2744</v>
      </c>
      <c r="B9" s="1813"/>
      <c r="C9" s="1813"/>
      <c r="D9" s="1813"/>
      <c r="E9" s="1813"/>
      <c r="F9" s="1813"/>
      <c r="G9" s="1813"/>
      <c r="H9" s="1813"/>
      <c r="I9" s="1813"/>
      <c r="J9" s="1813"/>
      <c r="K9" s="1813"/>
      <c r="L9" s="1813"/>
      <c r="M9" s="1813"/>
      <c r="N9" s="1813"/>
      <c r="O9" s="1813"/>
      <c r="P9" s="1814"/>
    </row>
    <row r="10" spans="1:16" s="501" customFormat="1" ht="12.75" customHeight="1">
      <c r="A10" s="1479" t="s">
        <v>307</v>
      </c>
      <c r="B10" s="1517"/>
      <c r="C10" s="60" t="s">
        <v>2745</v>
      </c>
      <c r="D10" s="60" t="s">
        <v>2746</v>
      </c>
      <c r="E10" s="1479" t="s">
        <v>2747</v>
      </c>
      <c r="F10" s="1480"/>
      <c r="G10" s="1812" t="s">
        <v>2712</v>
      </c>
      <c r="H10" s="1814"/>
      <c r="I10" s="61" t="s">
        <v>307</v>
      </c>
      <c r="J10" s="1147"/>
      <c r="K10" s="60" t="s">
        <v>2745</v>
      </c>
      <c r="L10" s="60" t="s">
        <v>2746</v>
      </c>
      <c r="M10" s="1479" t="s">
        <v>2747</v>
      </c>
      <c r="N10" s="1480"/>
      <c r="O10" s="1812" t="s">
        <v>2712</v>
      </c>
      <c r="P10" s="1813"/>
    </row>
    <row r="11" spans="1:16" s="501" customFormat="1" ht="18" customHeight="1">
      <c r="A11" s="1779" t="s">
        <v>2748</v>
      </c>
      <c r="B11" s="1780"/>
      <c r="C11" s="1131" t="s">
        <v>2749</v>
      </c>
      <c r="D11" s="1131" t="s">
        <v>2750</v>
      </c>
      <c r="E11" s="1779" t="s">
        <v>2751</v>
      </c>
      <c r="F11" s="1781"/>
      <c r="G11" s="2095">
        <f>ROUND(700*Belarus*(1-B53),2)</f>
        <v>700</v>
      </c>
      <c r="H11" s="2096"/>
      <c r="I11" s="1779" t="s">
        <v>2770</v>
      </c>
      <c r="J11" s="1780"/>
      <c r="K11" s="1131" t="s">
        <v>2758</v>
      </c>
      <c r="L11" s="1131" t="s">
        <v>6589</v>
      </c>
      <c r="M11" s="1779" t="s">
        <v>2762</v>
      </c>
      <c r="N11" s="1781"/>
      <c r="O11" s="2095">
        <f>ROUND(1223*Belarus*(1-B53),2)</f>
        <v>1223</v>
      </c>
      <c r="P11" s="2096"/>
    </row>
    <row r="12" spans="1:16" s="501" customFormat="1" ht="18" customHeight="1">
      <c r="A12" s="1779" t="s">
        <v>2752</v>
      </c>
      <c r="B12" s="1780"/>
      <c r="C12" s="1131" t="s">
        <v>2749</v>
      </c>
      <c r="D12" s="1131" t="s">
        <v>2750</v>
      </c>
      <c r="E12" s="1779" t="s">
        <v>2753</v>
      </c>
      <c r="F12" s="1781"/>
      <c r="G12" s="2095">
        <f>ROUND(450*Belarus*(1-B53),2)</f>
        <v>450</v>
      </c>
      <c r="H12" s="2096"/>
      <c r="I12" s="1779" t="s">
        <v>6348</v>
      </c>
      <c r="J12" s="1780"/>
      <c r="K12" s="1131" t="s">
        <v>2755</v>
      </c>
      <c r="L12" s="1131" t="s">
        <v>2750</v>
      </c>
      <c r="M12" s="1779" t="s">
        <v>6349</v>
      </c>
      <c r="N12" s="1781"/>
      <c r="O12" s="2095">
        <f>ROUND(1500*Belarus*(1-B53),2)</f>
        <v>1500</v>
      </c>
      <c r="P12" s="2096"/>
    </row>
    <row r="13" spans="1:16" s="501" customFormat="1" ht="32.25" customHeight="1">
      <c r="A13" s="1779" t="s">
        <v>2754</v>
      </c>
      <c r="B13" s="1780"/>
      <c r="C13" s="1131" t="s">
        <v>2755</v>
      </c>
      <c r="D13" s="1131" t="s">
        <v>2750</v>
      </c>
      <c r="E13" s="1779" t="s">
        <v>2756</v>
      </c>
      <c r="F13" s="1781"/>
      <c r="G13" s="2095">
        <f>ROUND(950*Belarus*(1-B53),2)</f>
        <v>950</v>
      </c>
      <c r="H13" s="2096"/>
      <c r="I13" s="1779" t="s">
        <v>2771</v>
      </c>
      <c r="J13" s="1780"/>
      <c r="K13" s="1131" t="s">
        <v>2755</v>
      </c>
      <c r="L13" s="1131" t="s">
        <v>2750</v>
      </c>
      <c r="M13" s="1779" t="s">
        <v>2772</v>
      </c>
      <c r="N13" s="1781"/>
      <c r="O13" s="2095">
        <f>ROUND(680*Belarus*(1-B53),2)</f>
        <v>680</v>
      </c>
      <c r="P13" s="2096"/>
    </row>
    <row r="14" spans="1:16" s="501" customFormat="1" ht="30.75" customHeight="1">
      <c r="A14" s="1779" t="s">
        <v>2757</v>
      </c>
      <c r="B14" s="1780"/>
      <c r="C14" s="1131" t="s">
        <v>2758</v>
      </c>
      <c r="D14" s="1131" t="s">
        <v>2750</v>
      </c>
      <c r="E14" s="1779" t="s">
        <v>2759</v>
      </c>
      <c r="F14" s="1781"/>
      <c r="G14" s="2095">
        <f>ROUND(1150*Belarus*(1-B53),2)</f>
        <v>1150</v>
      </c>
      <c r="H14" s="2096"/>
      <c r="I14" s="1779" t="s">
        <v>2773</v>
      </c>
      <c r="J14" s="1780"/>
      <c r="K14" s="1131" t="s">
        <v>2749</v>
      </c>
      <c r="L14" s="1131" t="s">
        <v>6590</v>
      </c>
      <c r="M14" s="1779" t="s">
        <v>2774</v>
      </c>
      <c r="N14" s="1781"/>
      <c r="O14" s="2095">
        <f>ROUND(1500*Belarus*(1-B53),2)</f>
        <v>1500</v>
      </c>
      <c r="P14" s="2096"/>
    </row>
    <row r="15" spans="1:16" s="501" customFormat="1" ht="18" customHeight="1">
      <c r="A15" s="1779" t="s">
        <v>2760</v>
      </c>
      <c r="B15" s="1780"/>
      <c r="C15" s="1131" t="s">
        <v>2758</v>
      </c>
      <c r="D15" s="1131" t="s">
        <v>6589</v>
      </c>
      <c r="E15" s="1779" t="s">
        <v>2759</v>
      </c>
      <c r="F15" s="1781"/>
      <c r="G15" s="2095">
        <f>ROUND(1025*Belarus*(1-B53),2)</f>
        <v>1025</v>
      </c>
      <c r="H15" s="2096"/>
      <c r="I15" s="1779" t="s">
        <v>2775</v>
      </c>
      <c r="J15" s="1780"/>
      <c r="K15" s="1131" t="s">
        <v>2755</v>
      </c>
      <c r="L15" s="1131" t="s">
        <v>2750</v>
      </c>
      <c r="M15" s="1779" t="s">
        <v>2776</v>
      </c>
      <c r="N15" s="1781"/>
      <c r="O15" s="2095">
        <f>ROUND(1550*Belarus*(1-B53),2)</f>
        <v>1550</v>
      </c>
      <c r="P15" s="2096"/>
    </row>
    <row r="16" spans="1:16" s="501" customFormat="1" ht="30" customHeight="1">
      <c r="A16" s="1779" t="s">
        <v>2761</v>
      </c>
      <c r="B16" s="1780"/>
      <c r="C16" s="1131" t="s">
        <v>2755</v>
      </c>
      <c r="D16" s="1131" t="s">
        <v>6589</v>
      </c>
      <c r="E16" s="1779" t="s">
        <v>2762</v>
      </c>
      <c r="F16" s="1781"/>
      <c r="G16" s="2095">
        <f>ROUND(1800*Belarus*(1-B53),2)</f>
        <v>1800</v>
      </c>
      <c r="H16" s="2096"/>
      <c r="I16" s="1779" t="s">
        <v>2777</v>
      </c>
      <c r="J16" s="1780"/>
      <c r="K16" s="1131" t="s">
        <v>2755</v>
      </c>
      <c r="L16" s="1131" t="s">
        <v>2750</v>
      </c>
      <c r="M16" s="1779" t="s">
        <v>2772</v>
      </c>
      <c r="N16" s="1781"/>
      <c r="O16" s="2095">
        <f>ROUND(1130*Belarus*(1-B53),2)</f>
        <v>1130</v>
      </c>
      <c r="P16" s="2096"/>
    </row>
    <row r="17" spans="1:16" s="501" customFormat="1" ht="26.25" customHeight="1">
      <c r="A17" s="1779" t="s">
        <v>2763</v>
      </c>
      <c r="B17" s="1780"/>
      <c r="C17" s="1131" t="s">
        <v>2758</v>
      </c>
      <c r="D17" s="1131" t="s">
        <v>6589</v>
      </c>
      <c r="E17" s="1779" t="s">
        <v>2762</v>
      </c>
      <c r="F17" s="1781"/>
      <c r="G17" s="2095">
        <f>ROUND(1150*Belarus*(1-B53),2)</f>
        <v>1150</v>
      </c>
      <c r="H17" s="2096"/>
      <c r="I17" s="1779" t="s">
        <v>2778</v>
      </c>
      <c r="J17" s="1780"/>
      <c r="K17" s="1131" t="s">
        <v>2758</v>
      </c>
      <c r="L17" s="1131" t="s">
        <v>2750</v>
      </c>
      <c r="M17" s="1779" t="s">
        <v>2779</v>
      </c>
      <c r="N17" s="1781"/>
      <c r="O17" s="2095">
        <f>ROUND(4200*Belarus*(1-B53),2)</f>
        <v>4200</v>
      </c>
      <c r="P17" s="2096"/>
    </row>
    <row r="18" spans="1:16" s="501" customFormat="1" ht="18" customHeight="1">
      <c r="A18" s="1779" t="s">
        <v>2764</v>
      </c>
      <c r="B18" s="1780"/>
      <c r="C18" s="1131" t="s">
        <v>2755</v>
      </c>
      <c r="D18" s="1131" t="s">
        <v>6589</v>
      </c>
      <c r="E18" s="1779" t="s">
        <v>2762</v>
      </c>
      <c r="F18" s="1781"/>
      <c r="G18" s="2095">
        <f>ROUND(1800*Belarus*(1-B53),2)</f>
        <v>1800</v>
      </c>
      <c r="H18" s="2096"/>
      <c r="I18" s="1779" t="s">
        <v>2780</v>
      </c>
      <c r="J18" s="1780"/>
      <c r="K18" s="1131" t="s">
        <v>2758</v>
      </c>
      <c r="L18" s="1131" t="s">
        <v>2750</v>
      </c>
      <c r="M18" s="1779" t="s">
        <v>2779</v>
      </c>
      <c r="N18" s="1781"/>
      <c r="O18" s="2095">
        <f>ROUND(4200*Belarus*(1-B53),2)</f>
        <v>4200</v>
      </c>
      <c r="P18" s="2096"/>
    </row>
    <row r="19" spans="1:16" s="501" customFormat="1" ht="18" customHeight="1">
      <c r="A19" s="1779" t="s">
        <v>2765</v>
      </c>
      <c r="B19" s="1780"/>
      <c r="C19" s="1131" t="s">
        <v>2755</v>
      </c>
      <c r="D19" s="1131" t="s">
        <v>6589</v>
      </c>
      <c r="E19" s="1779" t="s">
        <v>2762</v>
      </c>
      <c r="F19" s="1781"/>
      <c r="G19" s="2095">
        <f>ROUND(1800*Belarus*(1-B53),2)</f>
        <v>1800</v>
      </c>
      <c r="H19" s="2096"/>
      <c r="I19" s="1779" t="s">
        <v>2781</v>
      </c>
      <c r="J19" s="1780"/>
      <c r="K19" s="1131" t="s">
        <v>2749</v>
      </c>
      <c r="L19" s="1131" t="s">
        <v>2750</v>
      </c>
      <c r="M19" s="1779" t="s">
        <v>2782</v>
      </c>
      <c r="N19" s="1781"/>
      <c r="O19" s="2095">
        <f>ROUND(1250*Belarus*(1-B53),2)</f>
        <v>1250</v>
      </c>
      <c r="P19" s="2096"/>
    </row>
    <row r="20" spans="1:16" s="501" customFormat="1" ht="18" customHeight="1">
      <c r="A20" s="1779" t="s">
        <v>2766</v>
      </c>
      <c r="B20" s="1780"/>
      <c r="C20" s="1131" t="s">
        <v>2758</v>
      </c>
      <c r="D20" s="1131" t="s">
        <v>6589</v>
      </c>
      <c r="E20" s="1779" t="s">
        <v>2762</v>
      </c>
      <c r="F20" s="1781"/>
      <c r="G20" s="2095">
        <f>ROUND(1800*Belarus*(1-B53),2)</f>
        <v>1800</v>
      </c>
      <c r="H20" s="2096"/>
      <c r="I20" s="1779" t="s">
        <v>2783</v>
      </c>
      <c r="J20" s="1780"/>
      <c r="K20" s="1131" t="s">
        <v>2749</v>
      </c>
      <c r="L20" s="1131" t="s">
        <v>2750</v>
      </c>
      <c r="M20" s="1779" t="s">
        <v>2784</v>
      </c>
      <c r="N20" s="1781"/>
      <c r="O20" s="2095">
        <f>ROUND(1180*Belarus*(1-B53),2)</f>
        <v>1180</v>
      </c>
      <c r="P20" s="2096"/>
    </row>
    <row r="21" spans="1:16" s="501" customFormat="1" ht="18" customHeight="1">
      <c r="A21" s="1779" t="s">
        <v>2767</v>
      </c>
      <c r="B21" s="1780"/>
      <c r="C21" s="1131" t="s">
        <v>2755</v>
      </c>
      <c r="D21" s="1131" t="s">
        <v>6589</v>
      </c>
      <c r="E21" s="1779" t="s">
        <v>2762</v>
      </c>
      <c r="F21" s="1781"/>
      <c r="G21" s="2095">
        <f>ROUND(1350*Belarus*(1-B53),2)</f>
        <v>1350</v>
      </c>
      <c r="H21" s="2096"/>
      <c r="I21" s="1779" t="s">
        <v>2785</v>
      </c>
      <c r="J21" s="1780"/>
      <c r="K21" s="1131" t="s">
        <v>2755</v>
      </c>
      <c r="L21" s="1131" t="s">
        <v>2750</v>
      </c>
      <c r="M21" s="1779" t="s">
        <v>2786</v>
      </c>
      <c r="N21" s="1781"/>
      <c r="O21" s="2095">
        <f>ROUND(6160*Belarus*(1-B53),2)</f>
        <v>6160</v>
      </c>
      <c r="P21" s="2096"/>
    </row>
    <row r="22" spans="1:16" s="501" customFormat="1" ht="18" customHeight="1">
      <c r="A22" s="1779" t="s">
        <v>2768</v>
      </c>
      <c r="B22" s="1780"/>
      <c r="C22" s="1131" t="s">
        <v>2749</v>
      </c>
      <c r="D22" s="1131" t="s">
        <v>6589</v>
      </c>
      <c r="E22" s="1779" t="s">
        <v>2769</v>
      </c>
      <c r="F22" s="1781"/>
      <c r="G22" s="2095">
        <f>ROUND(1300*Belarus*(1-B53),2)</f>
        <v>1300</v>
      </c>
      <c r="H22" s="2096"/>
      <c r="I22" s="1779" t="s">
        <v>2787</v>
      </c>
      <c r="J22" s="1780"/>
      <c r="K22" s="1131" t="s">
        <v>2749</v>
      </c>
      <c r="L22" s="1131" t="s">
        <v>2750</v>
      </c>
      <c r="M22" s="1779" t="s">
        <v>2788</v>
      </c>
      <c r="N22" s="1781"/>
      <c r="O22" s="2095">
        <f>ROUND(7300*Belarus*(1-B53),2)</f>
        <v>7300</v>
      </c>
      <c r="P22" s="2096"/>
    </row>
    <row r="23" spans="1:16" s="501" customFormat="1" ht="12.75" customHeight="1">
      <c r="A23" s="1812" t="s">
        <v>420</v>
      </c>
      <c r="B23" s="1813"/>
      <c r="C23" s="1813"/>
      <c r="D23" s="1813"/>
      <c r="E23" s="1813"/>
      <c r="F23" s="1813"/>
      <c r="G23" s="1813"/>
      <c r="H23" s="1813"/>
      <c r="I23" s="1813"/>
      <c r="J23" s="1813"/>
      <c r="K23" s="1813"/>
      <c r="L23" s="1813"/>
      <c r="M23" s="1813"/>
      <c r="N23" s="1813"/>
      <c r="O23" s="1813"/>
      <c r="P23" s="1814"/>
    </row>
    <row r="24" spans="1:16" s="501" customFormat="1">
      <c r="A24" s="2222" t="s">
        <v>2789</v>
      </c>
      <c r="B24" s="2222"/>
      <c r="C24" s="2222"/>
      <c r="D24" s="2222"/>
      <c r="E24" s="2222"/>
      <c r="F24" s="2222"/>
      <c r="G24" s="2222"/>
      <c r="H24" s="2222"/>
      <c r="I24" s="2222"/>
      <c r="J24" s="2222"/>
      <c r="K24" s="2222"/>
      <c r="L24" s="2222"/>
      <c r="M24" s="2222"/>
      <c r="N24" s="2222"/>
      <c r="O24" s="2222"/>
      <c r="P24" s="2222"/>
    </row>
    <row r="25" spans="1:16" s="501" customFormat="1" ht="15.75" customHeight="1">
      <c r="A25" s="2533" t="str">
        <f>"На заказ суммой в розничных ценах менее "&amp;(32100*Belarus)&amp;" рублей не предоставляются скидки и взимается дополнительная наценка к сумме заказа 2500 руб."</f>
        <v>На заказ суммой в розничных ценах менее 32100 рублей не предоставляются скидки и взимается дополнительная наценка к сумме заказа 2500 руб.</v>
      </c>
      <c r="B25" s="2534"/>
      <c r="C25" s="2534"/>
      <c r="D25" s="2534"/>
      <c r="E25" s="2534"/>
      <c r="F25" s="2534"/>
      <c r="G25" s="2534"/>
      <c r="H25" s="2534"/>
      <c r="I25" s="2534"/>
      <c r="J25" s="2534"/>
      <c r="K25" s="2534"/>
      <c r="L25" s="2534"/>
      <c r="M25" s="2534"/>
      <c r="N25" s="2534"/>
      <c r="O25" s="2534"/>
      <c r="P25" s="2535"/>
    </row>
    <row r="26" spans="1:16" s="501" customFormat="1">
      <c r="A26" s="2222" t="s">
        <v>2790</v>
      </c>
      <c r="B26" s="2222"/>
      <c r="C26" s="2222"/>
      <c r="D26" s="2222"/>
      <c r="E26" s="2222"/>
      <c r="F26" s="2222"/>
      <c r="G26" s="2222"/>
      <c r="H26" s="2222"/>
      <c r="I26" s="2222"/>
      <c r="J26" s="2222"/>
      <c r="K26" s="2222"/>
      <c r="L26" s="2222"/>
      <c r="M26" s="2222"/>
      <c r="N26" s="2222"/>
      <c r="O26" s="2222"/>
      <c r="P26" s="2222"/>
    </row>
    <row r="27" spans="1:16" s="501" customFormat="1" ht="35.25" customHeight="1">
      <c r="A27" s="2058" t="s">
        <v>6591</v>
      </c>
      <c r="B27" s="2092"/>
      <c r="C27" s="2092"/>
      <c r="D27" s="2092"/>
      <c r="E27" s="2092"/>
      <c r="F27" s="2092"/>
      <c r="G27" s="2092"/>
      <c r="H27" s="2092"/>
      <c r="I27" s="2092"/>
      <c r="J27" s="2092"/>
      <c r="K27" s="2092"/>
      <c r="L27" s="2092"/>
      <c r="M27" s="2092"/>
      <c r="N27" s="2092"/>
      <c r="O27" s="2092"/>
      <c r="P27" s="2045"/>
    </row>
    <row r="28" spans="1:16" s="501" customFormat="1">
      <c r="A28" s="1133"/>
      <c r="B28" s="1133"/>
      <c r="C28" s="1133"/>
      <c r="D28" s="1133"/>
      <c r="E28" s="1133"/>
      <c r="F28" s="1133"/>
      <c r="G28" s="1133"/>
      <c r="H28" s="1133"/>
      <c r="I28" s="1133"/>
      <c r="J28" s="1133"/>
      <c r="K28" s="1133"/>
      <c r="L28" s="1133"/>
      <c r="M28" s="1133"/>
      <c r="N28" s="1133"/>
      <c r="O28" s="1133"/>
      <c r="P28" s="1133"/>
    </row>
    <row r="29" spans="1:16" s="501" customFormat="1">
      <c r="A29" s="1133"/>
      <c r="B29" s="1133"/>
      <c r="C29" s="1133"/>
      <c r="D29" s="1133"/>
      <c r="E29" s="1133"/>
      <c r="F29" s="1133"/>
      <c r="G29" s="1133"/>
      <c r="H29" s="1133"/>
      <c r="I29" s="1133"/>
      <c r="J29" s="1133"/>
      <c r="K29" s="1133"/>
      <c r="L29" s="1133"/>
      <c r="M29" s="1133"/>
      <c r="N29" s="1133"/>
      <c r="O29" s="1133"/>
      <c r="P29" s="1133"/>
    </row>
    <row r="30" spans="1:16" s="501" customFormat="1">
      <c r="A30" s="1133"/>
      <c r="B30" s="1133"/>
      <c r="C30" s="1133"/>
      <c r="D30" s="1133"/>
      <c r="E30" s="1133"/>
      <c r="F30" s="1133"/>
      <c r="G30" s="1133"/>
      <c r="H30" s="1133"/>
      <c r="I30" s="1133"/>
      <c r="J30" s="1133"/>
      <c r="K30" s="1133"/>
      <c r="L30" s="1133"/>
      <c r="M30" s="1133"/>
      <c r="N30" s="1133"/>
      <c r="O30" s="1133"/>
      <c r="P30" s="1133"/>
    </row>
    <row r="31" spans="1:16" s="501" customFormat="1" ht="24" customHeight="1" thickBot="1">
      <c r="A31" s="2162" t="s">
        <v>6592</v>
      </c>
      <c r="B31" s="2162"/>
      <c r="C31" s="2162"/>
      <c r="D31" s="2162"/>
      <c r="E31" s="2162"/>
      <c r="F31" s="2162"/>
      <c r="G31" s="2162"/>
      <c r="H31" s="2162"/>
      <c r="I31" s="2162"/>
      <c r="J31" s="2162"/>
      <c r="K31" s="2162"/>
      <c r="L31" s="2162"/>
      <c r="M31" s="2162"/>
      <c r="N31" s="2162"/>
      <c r="O31" s="2162"/>
      <c r="P31" s="2162"/>
    </row>
    <row r="32" spans="1:16" s="501" customFormat="1">
      <c r="A32" s="1134"/>
      <c r="B32" s="1134"/>
      <c r="C32" s="1134"/>
      <c r="D32" s="1134"/>
      <c r="E32" s="1134"/>
      <c r="F32" s="1134"/>
      <c r="I32" s="2"/>
      <c r="J32" s="2"/>
      <c r="K32" s="2"/>
      <c r="L32" s="2"/>
      <c r="M32" s="472"/>
      <c r="N32" s="505" t="s">
        <v>804</v>
      </c>
      <c r="O32" s="2526">
        <v>43271</v>
      </c>
      <c r="P32" s="2526"/>
    </row>
    <row r="33" spans="1:16" s="54" customFormat="1" ht="14.25" customHeight="1">
      <c r="A33" s="1629" t="s">
        <v>1547</v>
      </c>
      <c r="B33" s="1629" t="s">
        <v>307</v>
      </c>
      <c r="C33" s="2527" t="s">
        <v>284</v>
      </c>
      <c r="D33" s="2528"/>
      <c r="E33" s="2529"/>
      <c r="F33" s="1794" t="s">
        <v>1073</v>
      </c>
      <c r="G33" s="1629" t="s">
        <v>422</v>
      </c>
      <c r="H33" s="1629"/>
      <c r="I33" s="1629" t="s">
        <v>1547</v>
      </c>
      <c r="J33" s="1629" t="s">
        <v>307</v>
      </c>
      <c r="K33" s="1629" t="s">
        <v>284</v>
      </c>
      <c r="L33" s="1629"/>
      <c r="M33" s="1629"/>
      <c r="N33" s="1794" t="s">
        <v>1073</v>
      </c>
      <c r="O33" s="1629" t="s">
        <v>422</v>
      </c>
      <c r="P33" s="1629"/>
    </row>
    <row r="34" spans="1:16" s="54" customFormat="1" ht="14.25" customHeight="1">
      <c r="A34" s="1629"/>
      <c r="B34" s="1629"/>
      <c r="C34" s="2530"/>
      <c r="D34" s="2531"/>
      <c r="E34" s="2532"/>
      <c r="F34" s="1794"/>
      <c r="G34" s="40" t="s">
        <v>2742</v>
      </c>
      <c r="H34" s="40" t="s">
        <v>2743</v>
      </c>
      <c r="I34" s="1629"/>
      <c r="J34" s="1629"/>
      <c r="K34" s="1629"/>
      <c r="L34" s="1629"/>
      <c r="M34" s="1629"/>
      <c r="N34" s="1794"/>
      <c r="O34" s="40" t="s">
        <v>2742</v>
      </c>
      <c r="P34" s="40" t="s">
        <v>2743</v>
      </c>
    </row>
    <row r="35" spans="1:16" s="54" customFormat="1" ht="24" customHeight="1">
      <c r="A35" s="2056"/>
      <c r="B35" s="2524" t="s">
        <v>6593</v>
      </c>
      <c r="C35" s="2058" t="s">
        <v>2674</v>
      </c>
      <c r="D35" s="2092"/>
      <c r="E35" s="2045"/>
      <c r="F35" s="1581" t="s">
        <v>6594</v>
      </c>
      <c r="G35" s="1135">
        <f>ROUND(((H35/Belarus)/(0.19*3.6))*Belarus*(1-C53),2)</f>
        <v>600.88</v>
      </c>
      <c r="H35" s="352">
        <f>ROUND(411*Belarus*(1-C53),2)</f>
        <v>411</v>
      </c>
      <c r="I35" s="2056"/>
      <c r="J35" s="2524" t="s">
        <v>6595</v>
      </c>
      <c r="K35" s="2058" t="s">
        <v>2674</v>
      </c>
      <c r="L35" s="2092"/>
      <c r="M35" s="2045"/>
      <c r="N35" s="1581" t="s">
        <v>6594</v>
      </c>
      <c r="O35" s="1135">
        <f>ROUND(((P35/Belarus)/(0.19*3.6))*Belarus*(1-C53),2)</f>
        <v>638.89</v>
      </c>
      <c r="P35" s="352">
        <f>ROUND(437*Belarus*(1-C53),2)</f>
        <v>437</v>
      </c>
    </row>
    <row r="36" spans="1:16" s="54" customFormat="1" ht="45" customHeight="1">
      <c r="A36" s="2056"/>
      <c r="B36" s="2525"/>
      <c r="C36" s="2008" t="s">
        <v>6596</v>
      </c>
      <c r="D36" s="2008"/>
      <c r="E36" s="2008"/>
      <c r="F36" s="1581"/>
      <c r="G36" s="1135">
        <f>ROUND(((H36/Belarus)/(0.19*3.6))*Belarus*(1-C53),2)</f>
        <v>830.41</v>
      </c>
      <c r="H36" s="352">
        <f>ROUND(568*Belarus*(1-C53),2)</f>
        <v>568</v>
      </c>
      <c r="I36" s="2056"/>
      <c r="J36" s="2525"/>
      <c r="K36" s="2008" t="s">
        <v>6596</v>
      </c>
      <c r="L36" s="2008"/>
      <c r="M36" s="2008"/>
      <c r="N36" s="1581"/>
      <c r="O36" s="1135">
        <f>ROUND(((P36/Belarus)/(0.19*3.6))*Belarus*(1-C53),2)</f>
        <v>868.42</v>
      </c>
      <c r="P36" s="352">
        <f>ROUND(594*Belarus*(1-C53),2)</f>
        <v>594</v>
      </c>
    </row>
    <row r="37" spans="1:16" s="54" customFormat="1" ht="14.25" customHeight="1">
      <c r="A37" s="1812" t="s">
        <v>6597</v>
      </c>
      <c r="B37" s="1813"/>
      <c r="C37" s="1813"/>
      <c r="D37" s="1813"/>
      <c r="E37" s="1813"/>
      <c r="F37" s="1813"/>
      <c r="G37" s="1813"/>
      <c r="H37" s="1813"/>
      <c r="I37" s="1813"/>
      <c r="J37" s="1813"/>
      <c r="K37" s="1813"/>
      <c r="L37" s="1813"/>
      <c r="M37" s="1813"/>
      <c r="N37" s="1813"/>
      <c r="O37" s="1813"/>
      <c r="P37" s="1814"/>
    </row>
    <row r="38" spans="1:16" s="54" customFormat="1" ht="14.25" customHeight="1">
      <c r="A38" s="1479" t="s">
        <v>307</v>
      </c>
      <c r="B38" s="1517"/>
      <c r="C38" s="1479" t="s">
        <v>2747</v>
      </c>
      <c r="D38" s="1480"/>
      <c r="E38" s="107" t="s">
        <v>6598</v>
      </c>
      <c r="F38" s="107" t="s">
        <v>2712</v>
      </c>
      <c r="G38" s="1812" t="s">
        <v>6599</v>
      </c>
      <c r="H38" s="1814"/>
      <c r="I38" s="1479" t="s">
        <v>307</v>
      </c>
      <c r="J38" s="1517"/>
      <c r="K38" s="1479" t="s">
        <v>2747</v>
      </c>
      <c r="L38" s="1480"/>
      <c r="M38" s="107" t="s">
        <v>6598</v>
      </c>
      <c r="N38" s="107" t="s">
        <v>2712</v>
      </c>
      <c r="O38" s="1812" t="s">
        <v>6599</v>
      </c>
      <c r="P38" s="1814"/>
    </row>
    <row r="39" spans="1:16" s="54" customFormat="1" ht="17.25" customHeight="1">
      <c r="A39" s="1332" t="s">
        <v>6600</v>
      </c>
      <c r="B39" s="1332"/>
      <c r="C39" s="1616" t="s">
        <v>6601</v>
      </c>
      <c r="D39" s="1617"/>
      <c r="E39" s="1136" t="s">
        <v>6602</v>
      </c>
      <c r="F39" s="1148">
        <f>ROUND(G39/500,2)</f>
        <v>7.7</v>
      </c>
      <c r="G39" s="1488">
        <f>ROUND(3850*Belarus*(1-C53),2)</f>
        <v>3850</v>
      </c>
      <c r="H39" s="1490"/>
      <c r="I39" s="1332" t="s">
        <v>6603</v>
      </c>
      <c r="J39" s="1332"/>
      <c r="K39" s="1616" t="s">
        <v>6604</v>
      </c>
      <c r="L39" s="1617"/>
      <c r="M39" s="1136" t="s">
        <v>6605</v>
      </c>
      <c r="N39" s="1148" t="s">
        <v>369</v>
      </c>
      <c r="O39" s="1488">
        <f>ROUND(1350*Belarus*(1-C53),2)</f>
        <v>1350</v>
      </c>
      <c r="P39" s="1490"/>
    </row>
    <row r="40" spans="1:16" s="54" customFormat="1" ht="17.25" customHeight="1">
      <c r="A40" s="1332" t="s">
        <v>6606</v>
      </c>
      <c r="B40" s="1332"/>
      <c r="C40" s="1616" t="s">
        <v>6601</v>
      </c>
      <c r="D40" s="1617"/>
      <c r="E40" s="1136" t="s">
        <v>6602</v>
      </c>
      <c r="F40" s="1148">
        <f>ROUND(G40/500,2)</f>
        <v>7.5</v>
      </c>
      <c r="G40" s="1488">
        <f>ROUND(3750*Belarus*(1-C53),2)</f>
        <v>3750</v>
      </c>
      <c r="H40" s="1490"/>
      <c r="I40" s="1332" t="s">
        <v>6607</v>
      </c>
      <c r="J40" s="1332"/>
      <c r="K40" s="1616" t="s">
        <v>6604</v>
      </c>
      <c r="L40" s="1617"/>
      <c r="M40" s="1136" t="s">
        <v>6605</v>
      </c>
      <c r="N40" s="1148" t="s">
        <v>369</v>
      </c>
      <c r="O40" s="1488">
        <f>ROUND(1780*Belarus*(1-C53),2)</f>
        <v>1780</v>
      </c>
      <c r="P40" s="1490"/>
    </row>
    <row r="41" spans="1:16" s="54" customFormat="1" ht="17.25" customHeight="1">
      <c r="A41" s="1332" t="s">
        <v>6608</v>
      </c>
      <c r="B41" s="1332"/>
      <c r="C41" s="1616" t="s">
        <v>6609</v>
      </c>
      <c r="D41" s="1617"/>
      <c r="E41" s="1136" t="s">
        <v>6610</v>
      </c>
      <c r="F41" s="1148">
        <f>ROUND(G41/150,2)</f>
        <v>37</v>
      </c>
      <c r="G41" s="1488">
        <f>ROUND(5550*Belarus*(1-C53),2)</f>
        <v>5550</v>
      </c>
      <c r="H41" s="1490"/>
      <c r="I41" s="1332" t="s">
        <v>6611</v>
      </c>
      <c r="J41" s="1332"/>
      <c r="K41" s="1616" t="s">
        <v>6612</v>
      </c>
      <c r="L41" s="1617"/>
      <c r="M41" s="1136" t="s">
        <v>6613</v>
      </c>
      <c r="N41" s="1148" t="s">
        <v>369</v>
      </c>
      <c r="O41" s="1488">
        <f>ROUND(120*Belarus*(1-C53),2)</f>
        <v>120</v>
      </c>
      <c r="P41" s="1490"/>
    </row>
    <row r="42" spans="1:16" s="54" customFormat="1" ht="17.25" customHeight="1">
      <c r="A42" s="1332" t="s">
        <v>6614</v>
      </c>
      <c r="B42" s="1332"/>
      <c r="C42" s="1616" t="s">
        <v>6609</v>
      </c>
      <c r="D42" s="1617"/>
      <c r="E42" s="1136" t="s">
        <v>6610</v>
      </c>
      <c r="F42" s="1148">
        <f>ROUND(G42/150,2)</f>
        <v>35</v>
      </c>
      <c r="G42" s="1488">
        <f>ROUND(5250*Belarus*(1-C53),2)</f>
        <v>5250</v>
      </c>
      <c r="H42" s="1490"/>
      <c r="I42" s="1332" t="s">
        <v>6611</v>
      </c>
      <c r="J42" s="1332"/>
      <c r="K42" s="1616" t="s">
        <v>6612</v>
      </c>
      <c r="L42" s="1617"/>
      <c r="M42" s="1136" t="s">
        <v>6615</v>
      </c>
      <c r="N42" s="1148" t="s">
        <v>369</v>
      </c>
      <c r="O42" s="1488">
        <f>ROUND(550*Belarus*(1-C53),2)</f>
        <v>550</v>
      </c>
      <c r="P42" s="1490"/>
    </row>
    <row r="43" spans="1:16" s="289" customFormat="1" ht="17.25" customHeight="1">
      <c r="A43" s="1351" t="s">
        <v>6716</v>
      </c>
      <c r="B43" s="1351"/>
      <c r="C43" s="1616" t="s">
        <v>6717</v>
      </c>
      <c r="D43" s="1617"/>
      <c r="E43" s="1179" t="s">
        <v>6718</v>
      </c>
      <c r="F43" s="670">
        <f>ROUND(3500*Belarus*(1-C53),2)</f>
        <v>3500</v>
      </c>
      <c r="G43" s="1488" t="s">
        <v>1190</v>
      </c>
      <c r="H43" s="1490"/>
      <c r="I43" s="1177"/>
      <c r="J43" s="1177"/>
      <c r="K43" s="1178"/>
      <c r="L43" s="1178"/>
      <c r="M43" s="1180"/>
      <c r="N43" s="1181"/>
      <c r="O43" s="1175"/>
      <c r="P43" s="1176"/>
    </row>
    <row r="44" spans="1:16" s="54" customFormat="1" ht="14.25" customHeight="1">
      <c r="A44" s="1812" t="s">
        <v>420</v>
      </c>
      <c r="B44" s="1813"/>
      <c r="C44" s="1813"/>
      <c r="D44" s="1813"/>
      <c r="E44" s="1813"/>
      <c r="F44" s="1813"/>
      <c r="G44" s="1813"/>
      <c r="H44" s="1813"/>
      <c r="I44" s="1813"/>
      <c r="J44" s="1813"/>
      <c r="K44" s="1813"/>
      <c r="L44" s="1813"/>
      <c r="M44" s="1813"/>
      <c r="N44" s="1813"/>
      <c r="O44" s="1813"/>
      <c r="P44" s="1814"/>
    </row>
    <row r="45" spans="1:16" s="54" customFormat="1" ht="18" customHeight="1">
      <c r="A45" s="2520" t="s">
        <v>6616</v>
      </c>
      <c r="B45" s="2520"/>
      <c r="C45" s="2520"/>
      <c r="D45" s="2520"/>
      <c r="E45" s="2520"/>
      <c r="F45" s="2520"/>
      <c r="G45" s="2520"/>
      <c r="H45" s="2520"/>
      <c r="I45" s="2520"/>
      <c r="J45" s="2520"/>
      <c r="K45" s="2520"/>
      <c r="L45" s="2520"/>
      <c r="M45" s="2520"/>
      <c r="N45" s="2520"/>
      <c r="O45" s="2520"/>
      <c r="P45" s="2520"/>
    </row>
    <row r="46" spans="1:16" s="184" customFormat="1" ht="35.25" customHeight="1">
      <c r="A46" s="1638" t="s">
        <v>6617</v>
      </c>
      <c r="B46" s="1638"/>
      <c r="C46" s="1638"/>
      <c r="D46" s="1638"/>
      <c r="E46" s="1638"/>
      <c r="F46" s="1638"/>
      <c r="G46" s="1638"/>
      <c r="H46" s="1638"/>
      <c r="I46" s="1638"/>
      <c r="J46" s="1638"/>
      <c r="K46" s="1638"/>
      <c r="L46" s="1638"/>
      <c r="M46" s="1638"/>
      <c r="N46" s="1638"/>
      <c r="O46" s="1638"/>
      <c r="P46" s="1638"/>
    </row>
    <row r="47" spans="1:16" s="54" customFormat="1" ht="15" customHeight="1">
      <c r="A47" s="469"/>
      <c r="B47" s="469"/>
      <c r="C47" s="469"/>
      <c r="D47" s="469"/>
      <c r="E47" s="469"/>
      <c r="F47" s="469"/>
      <c r="G47" s="469"/>
      <c r="H47" s="469"/>
      <c r="I47" s="469"/>
      <c r="J47" s="469"/>
      <c r="K47" s="469"/>
      <c r="L47" s="469"/>
      <c r="M47" s="469"/>
      <c r="N47" s="469"/>
      <c r="O47" s="469"/>
      <c r="P47" s="469"/>
    </row>
    <row r="48" spans="1:16" s="54" customFormat="1" ht="15" customHeight="1">
      <c r="A48" s="469"/>
      <c r="B48" s="469"/>
      <c r="C48" s="469"/>
      <c r="D48" s="469"/>
      <c r="E48" s="469"/>
      <c r="F48" s="469"/>
      <c r="G48" s="469"/>
      <c r="H48" s="469"/>
      <c r="I48" s="469"/>
      <c r="J48" s="469"/>
      <c r="K48" s="469"/>
      <c r="L48" s="469"/>
      <c r="M48" s="469"/>
      <c r="N48" s="469"/>
      <c r="O48" s="469"/>
      <c r="P48" s="469"/>
    </row>
    <row r="49" spans="1:16" s="54" customFormat="1" ht="15" customHeight="1">
      <c r="A49" s="469"/>
      <c r="B49" s="469"/>
      <c r="C49" s="469"/>
      <c r="D49" s="469"/>
      <c r="E49" s="469"/>
      <c r="F49" s="469"/>
      <c r="G49" s="469"/>
      <c r="H49" s="469"/>
      <c r="I49" s="469"/>
      <c r="J49" s="469"/>
      <c r="K49" s="469"/>
      <c r="L49" s="469"/>
      <c r="M49" s="469"/>
      <c r="N49" s="469"/>
      <c r="O49" s="469"/>
      <c r="P49" s="469"/>
    </row>
    <row r="50" spans="1:16" ht="12.75" customHeight="1">
      <c r="G50" s="46"/>
      <c r="H50" s="46"/>
      <c r="I50" s="46"/>
      <c r="J50" s="46"/>
      <c r="K50" s="46"/>
      <c r="L50" s="46"/>
      <c r="M50" s="46"/>
      <c r="N50" s="46"/>
      <c r="O50" s="46"/>
    </row>
    <row r="51" spans="1:16">
      <c r="G51" s="46"/>
      <c r="H51" s="46"/>
      <c r="I51" s="46"/>
      <c r="J51" s="46"/>
      <c r="K51" s="46"/>
      <c r="L51" s="46"/>
      <c r="M51" s="46"/>
      <c r="N51" s="46"/>
      <c r="O51" s="46"/>
    </row>
    <row r="52" spans="1:16" ht="17.25" customHeight="1">
      <c r="A52" s="2495" t="s">
        <v>1835</v>
      </c>
      <c r="B52" s="1137" t="s">
        <v>2792</v>
      </c>
      <c r="C52" s="2522" t="s">
        <v>6719</v>
      </c>
      <c r="D52" s="2522"/>
      <c r="G52" s="46"/>
      <c r="H52" s="46"/>
      <c r="I52" s="46"/>
      <c r="J52" s="46"/>
      <c r="K52" s="46"/>
      <c r="L52" s="46"/>
      <c r="M52" s="46"/>
      <c r="N52" s="46"/>
      <c r="O52" s="46"/>
    </row>
    <row r="53" spans="1:16">
      <c r="A53" s="2521"/>
      <c r="B53" s="1132">
        <v>0</v>
      </c>
      <c r="C53" s="2523">
        <v>0</v>
      </c>
      <c r="D53" s="2523"/>
      <c r="G53" s="46"/>
      <c r="H53" s="46"/>
      <c r="I53" s="46"/>
      <c r="J53" s="46"/>
      <c r="K53" s="46"/>
      <c r="L53" s="46"/>
      <c r="M53" s="46"/>
      <c r="N53" s="46"/>
      <c r="O53" s="46"/>
    </row>
    <row r="55" spans="1:16">
      <c r="C55" s="46"/>
      <c r="D55" s="46"/>
      <c r="G55" s="46"/>
      <c r="H55" s="46"/>
      <c r="I55" s="46"/>
      <c r="J55" s="46"/>
      <c r="K55" s="46"/>
      <c r="L55" s="46"/>
      <c r="M55" s="46"/>
      <c r="N55" s="46"/>
      <c r="O55" s="46"/>
    </row>
    <row r="56" spans="1:16" ht="15" customHeight="1">
      <c r="A56" s="46"/>
      <c r="C56" s="46"/>
      <c r="D56" s="46"/>
      <c r="G56" s="46"/>
      <c r="H56" s="46"/>
      <c r="I56" s="46"/>
      <c r="J56" s="46"/>
      <c r="K56" s="46"/>
      <c r="L56" s="46"/>
      <c r="M56" s="46"/>
      <c r="N56" s="46"/>
      <c r="O56" s="46"/>
    </row>
    <row r="57" spans="1:16">
      <c r="A57" s="46"/>
      <c r="B57" s="46"/>
      <c r="C57" s="46"/>
      <c r="D57" s="46"/>
      <c r="E57" s="46"/>
      <c r="F57" s="46"/>
      <c r="G57" s="46"/>
      <c r="H57" s="46"/>
      <c r="I57" s="46"/>
      <c r="J57" s="46"/>
      <c r="K57" s="46"/>
      <c r="L57" s="46"/>
      <c r="M57" s="46"/>
      <c r="N57" s="46"/>
      <c r="O57" s="46"/>
    </row>
    <row r="58" spans="1:16">
      <c r="A58" s="46"/>
      <c r="B58" s="46"/>
      <c r="C58" s="46"/>
      <c r="D58" s="46"/>
      <c r="E58" s="46"/>
      <c r="F58" s="46"/>
      <c r="G58" s="46"/>
      <c r="H58" s="46"/>
      <c r="I58" s="46"/>
      <c r="J58" s="46"/>
      <c r="K58" s="46"/>
      <c r="L58" s="46"/>
      <c r="M58" s="46"/>
      <c r="N58" s="46"/>
      <c r="O58" s="46"/>
    </row>
    <row r="59" spans="1:16">
      <c r="A59" s="46"/>
      <c r="B59" s="46"/>
      <c r="C59" s="46"/>
      <c r="D59" s="46"/>
      <c r="E59" s="46"/>
      <c r="F59" s="46"/>
      <c r="G59" s="46"/>
      <c r="H59" s="46"/>
      <c r="I59" s="46"/>
      <c r="J59" s="46"/>
      <c r="K59" s="46"/>
      <c r="L59" s="46"/>
      <c r="M59" s="46"/>
      <c r="N59" s="46"/>
      <c r="O59" s="46"/>
    </row>
    <row r="60" spans="1:16">
      <c r="A60" s="46"/>
      <c r="B60" s="46"/>
      <c r="C60" s="46"/>
      <c r="D60" s="46"/>
      <c r="E60" s="46"/>
      <c r="F60" s="46"/>
      <c r="G60" s="46"/>
      <c r="H60" s="46"/>
      <c r="I60" s="46"/>
      <c r="J60" s="46"/>
      <c r="K60" s="46"/>
      <c r="L60" s="46"/>
      <c r="M60" s="46"/>
      <c r="N60" s="46"/>
      <c r="O60" s="46"/>
    </row>
    <row r="61" spans="1:16">
      <c r="A61" s="46"/>
      <c r="B61" s="46"/>
      <c r="C61" s="46"/>
      <c r="D61" s="46"/>
      <c r="E61" s="46"/>
      <c r="F61" s="46"/>
      <c r="G61" s="46"/>
      <c r="H61" s="46"/>
      <c r="I61" s="46"/>
      <c r="J61" s="46"/>
      <c r="K61" s="46"/>
      <c r="L61" s="46"/>
      <c r="M61" s="46"/>
      <c r="N61" s="46"/>
      <c r="O61" s="46"/>
    </row>
    <row r="62" spans="1:16">
      <c r="A62" s="46"/>
      <c r="B62" s="46"/>
      <c r="C62" s="46"/>
      <c r="D62" s="46"/>
      <c r="E62" s="46"/>
      <c r="F62" s="46"/>
      <c r="G62" s="46"/>
      <c r="H62" s="46"/>
      <c r="I62" s="46"/>
      <c r="J62" s="46"/>
      <c r="K62" s="46"/>
      <c r="L62" s="46"/>
      <c r="M62" s="46"/>
      <c r="N62" s="46"/>
      <c r="O62" s="46"/>
    </row>
    <row r="63" spans="1:16" ht="15" customHeight="1">
      <c r="A63" s="46"/>
      <c r="B63" s="46"/>
      <c r="C63" s="46"/>
      <c r="D63" s="46"/>
      <c r="E63" s="46"/>
      <c r="F63" s="46"/>
      <c r="G63" s="46"/>
      <c r="H63" s="46"/>
      <c r="I63" s="46"/>
      <c r="J63" s="46"/>
      <c r="K63" s="46"/>
      <c r="L63" s="46"/>
      <c r="M63" s="46"/>
      <c r="N63" s="46"/>
      <c r="O63" s="46"/>
    </row>
    <row r="64" spans="1:16">
      <c r="A64" s="46"/>
      <c r="B64" s="46"/>
      <c r="C64" s="46"/>
      <c r="D64" s="46"/>
      <c r="E64" s="46"/>
      <c r="F64" s="46"/>
      <c r="G64" s="46"/>
      <c r="H64" s="46"/>
      <c r="I64" s="46"/>
      <c r="J64" s="46"/>
      <c r="K64" s="46"/>
      <c r="L64" s="46"/>
      <c r="M64" s="46"/>
      <c r="N64" s="46"/>
      <c r="O64" s="46"/>
    </row>
    <row r="65" spans="1:15">
      <c r="A65" s="46"/>
      <c r="B65" s="46"/>
      <c r="C65" s="46"/>
      <c r="D65" s="46"/>
      <c r="E65" s="46"/>
      <c r="F65" s="46"/>
      <c r="G65" s="46"/>
      <c r="H65" s="46"/>
      <c r="I65" s="46"/>
      <c r="J65" s="46"/>
      <c r="K65" s="46"/>
      <c r="L65" s="46"/>
      <c r="M65" s="46"/>
      <c r="N65" s="46"/>
      <c r="O65" s="46"/>
    </row>
    <row r="66" spans="1:15">
      <c r="A66" s="46"/>
      <c r="B66" s="46"/>
      <c r="C66" s="46"/>
      <c r="D66" s="46"/>
      <c r="E66" s="46"/>
      <c r="F66" s="46"/>
      <c r="G66" s="46"/>
      <c r="H66" s="46"/>
      <c r="I66" s="46"/>
      <c r="J66" s="46"/>
      <c r="K66" s="46"/>
      <c r="L66" s="46"/>
      <c r="M66" s="46"/>
      <c r="N66" s="46"/>
      <c r="O66" s="46"/>
    </row>
    <row r="67" spans="1:15" ht="15" customHeight="1">
      <c r="A67" s="46"/>
      <c r="B67" s="46"/>
      <c r="C67" s="46"/>
      <c r="D67" s="46"/>
      <c r="E67" s="46"/>
      <c r="F67" s="46"/>
      <c r="G67" s="46"/>
      <c r="H67" s="46"/>
      <c r="I67" s="46"/>
      <c r="J67" s="46"/>
      <c r="K67" s="46"/>
      <c r="L67" s="46"/>
      <c r="M67" s="46"/>
      <c r="N67" s="46"/>
      <c r="O67" s="46"/>
    </row>
    <row r="68" spans="1:15">
      <c r="A68" s="46"/>
      <c r="B68" s="46"/>
      <c r="C68" s="46"/>
      <c r="D68" s="46"/>
      <c r="E68" s="46"/>
      <c r="F68" s="46"/>
      <c r="G68" s="46"/>
      <c r="H68" s="46"/>
      <c r="I68" s="46"/>
      <c r="J68" s="46"/>
      <c r="K68" s="46"/>
      <c r="L68" s="46"/>
      <c r="M68" s="46"/>
      <c r="N68" s="46"/>
      <c r="O68" s="46"/>
    </row>
    <row r="69" spans="1:15" ht="12.75" customHeight="1">
      <c r="A69" s="46"/>
      <c r="B69" s="46"/>
      <c r="C69" s="46"/>
      <c r="D69" s="46"/>
      <c r="E69" s="46"/>
      <c r="F69" s="46"/>
      <c r="G69" s="46"/>
      <c r="H69" s="46"/>
      <c r="I69" s="46"/>
      <c r="J69" s="46"/>
      <c r="K69" s="46"/>
      <c r="L69" s="46"/>
      <c r="M69" s="46"/>
      <c r="N69" s="46"/>
      <c r="O69" s="46"/>
    </row>
    <row r="70" spans="1:15">
      <c r="A70" s="46"/>
      <c r="B70" s="46"/>
      <c r="C70" s="46"/>
      <c r="D70" s="46"/>
      <c r="E70" s="46"/>
      <c r="F70" s="46"/>
      <c r="G70" s="46"/>
      <c r="H70" s="46"/>
      <c r="I70" s="46"/>
      <c r="J70" s="46"/>
      <c r="K70" s="46"/>
      <c r="L70" s="46"/>
      <c r="M70" s="46"/>
      <c r="N70" s="46"/>
      <c r="O70" s="46"/>
    </row>
    <row r="71" spans="1:15">
      <c r="A71" s="46"/>
      <c r="B71" s="46"/>
      <c r="C71" s="46"/>
      <c r="D71" s="46"/>
      <c r="E71" s="46"/>
      <c r="F71" s="46"/>
      <c r="G71" s="46"/>
      <c r="H71" s="46"/>
      <c r="I71" s="46"/>
      <c r="J71" s="46"/>
      <c r="K71" s="46"/>
      <c r="L71" s="46"/>
      <c r="M71" s="46"/>
      <c r="N71" s="46"/>
      <c r="O71" s="46"/>
    </row>
    <row r="72" spans="1:15" ht="15" customHeight="1">
      <c r="A72" s="46"/>
      <c r="B72" s="46"/>
      <c r="C72" s="46"/>
      <c r="D72" s="46"/>
      <c r="E72" s="46"/>
      <c r="F72" s="46"/>
      <c r="G72" s="46"/>
      <c r="H72" s="46"/>
      <c r="I72" s="46"/>
      <c r="J72" s="46"/>
      <c r="K72" s="46"/>
      <c r="L72" s="46"/>
      <c r="M72" s="46"/>
      <c r="N72" s="46"/>
      <c r="O72" s="46"/>
    </row>
    <row r="73" spans="1:15">
      <c r="C73" s="46"/>
      <c r="D73" s="46"/>
      <c r="E73" s="46"/>
      <c r="F73" s="46"/>
      <c r="G73" s="46"/>
      <c r="H73" s="46"/>
      <c r="I73" s="46"/>
      <c r="J73" s="46"/>
      <c r="K73" s="46"/>
      <c r="L73" s="46"/>
      <c r="M73" s="46"/>
      <c r="N73" s="46"/>
      <c r="O73" s="46"/>
    </row>
  </sheetData>
  <sheetProtection selectLockedCells="1" selectUnlockedCells="1"/>
  <mergeCells count="165">
    <mergeCell ref="A1:C1"/>
    <mergeCell ref="O2:P2"/>
    <mergeCell ref="A3:P3"/>
    <mergeCell ref="O4:P4"/>
    <mergeCell ref="A5:A6"/>
    <mergeCell ref="B5:B6"/>
    <mergeCell ref="C5:E6"/>
    <mergeCell ref="F5:F6"/>
    <mergeCell ref="G5:H5"/>
    <mergeCell ref="I5:I6"/>
    <mergeCell ref="J5:J6"/>
    <mergeCell ref="K5:M6"/>
    <mergeCell ref="N5:N6"/>
    <mergeCell ref="O5:P5"/>
    <mergeCell ref="C7:E7"/>
    <mergeCell ref="F7:F8"/>
    <mergeCell ref="K7:M7"/>
    <mergeCell ref="N7:N8"/>
    <mergeCell ref="C8:E8"/>
    <mergeCell ref="K8:M8"/>
    <mergeCell ref="A9:P9"/>
    <mergeCell ref="A10:B10"/>
    <mergeCell ref="E10:F10"/>
    <mergeCell ref="G10:H10"/>
    <mergeCell ref="M10:N10"/>
    <mergeCell ref="O10:P10"/>
    <mergeCell ref="A11:B11"/>
    <mergeCell ref="E11:F11"/>
    <mergeCell ref="G11:H11"/>
    <mergeCell ref="I11:J11"/>
    <mergeCell ref="M11:N11"/>
    <mergeCell ref="O11:P11"/>
    <mergeCell ref="A12:B12"/>
    <mergeCell ref="E12:F12"/>
    <mergeCell ref="G12:H12"/>
    <mergeCell ref="I12:J12"/>
    <mergeCell ref="M12:N12"/>
    <mergeCell ref="O12:P12"/>
    <mergeCell ref="A13:B13"/>
    <mergeCell ref="E13:F13"/>
    <mergeCell ref="G13:H13"/>
    <mergeCell ref="I13:J13"/>
    <mergeCell ref="M13:N13"/>
    <mergeCell ref="O13:P13"/>
    <mergeCell ref="A14:B14"/>
    <mergeCell ref="E14:F14"/>
    <mergeCell ref="G14:H14"/>
    <mergeCell ref="I14:J14"/>
    <mergeCell ref="M14:N14"/>
    <mergeCell ref="O14:P14"/>
    <mergeCell ref="A15:B15"/>
    <mergeCell ref="E15:F15"/>
    <mergeCell ref="G15:H15"/>
    <mergeCell ref="I15:J15"/>
    <mergeCell ref="M15:N15"/>
    <mergeCell ref="O15:P15"/>
    <mergeCell ref="A16:B16"/>
    <mergeCell ref="E16:F16"/>
    <mergeCell ref="G16:H16"/>
    <mergeCell ref="I16:J16"/>
    <mergeCell ref="M16:N16"/>
    <mergeCell ref="O16:P16"/>
    <mergeCell ref="A17:B17"/>
    <mergeCell ref="E17:F17"/>
    <mergeCell ref="G17:H17"/>
    <mergeCell ref="I17:J17"/>
    <mergeCell ref="M17:N17"/>
    <mergeCell ref="O17:P17"/>
    <mergeCell ref="A18:B18"/>
    <mergeCell ref="E18:F18"/>
    <mergeCell ref="G18:H18"/>
    <mergeCell ref="I18:J18"/>
    <mergeCell ref="M18:N18"/>
    <mergeCell ref="O18:P18"/>
    <mergeCell ref="A19:B19"/>
    <mergeCell ref="E19:F19"/>
    <mergeCell ref="G19:H19"/>
    <mergeCell ref="I19:J19"/>
    <mergeCell ref="M19:N19"/>
    <mergeCell ref="O19:P19"/>
    <mergeCell ref="A20:B20"/>
    <mergeCell ref="E20:F20"/>
    <mergeCell ref="G20:H20"/>
    <mergeCell ref="I20:J20"/>
    <mergeCell ref="M20:N20"/>
    <mergeCell ref="O20:P20"/>
    <mergeCell ref="A21:B21"/>
    <mergeCell ref="E21:F21"/>
    <mergeCell ref="G21:H21"/>
    <mergeCell ref="I21:J21"/>
    <mergeCell ref="M21:N21"/>
    <mergeCell ref="O21:P21"/>
    <mergeCell ref="A22:B22"/>
    <mergeCell ref="E22:F22"/>
    <mergeCell ref="G22:H22"/>
    <mergeCell ref="I22:J22"/>
    <mergeCell ref="M22:N22"/>
    <mergeCell ref="O22:P22"/>
    <mergeCell ref="A23:P23"/>
    <mergeCell ref="A24:P24"/>
    <mergeCell ref="A25:P25"/>
    <mergeCell ref="A26:P26"/>
    <mergeCell ref="A27:P27"/>
    <mergeCell ref="A31:P31"/>
    <mergeCell ref="O32:P32"/>
    <mergeCell ref="A33:A34"/>
    <mergeCell ref="B33:B34"/>
    <mergeCell ref="C33:E34"/>
    <mergeCell ref="F33:F34"/>
    <mergeCell ref="G33:H33"/>
    <mergeCell ref="I33:I34"/>
    <mergeCell ref="J33:J34"/>
    <mergeCell ref="K33:M34"/>
    <mergeCell ref="N33:N34"/>
    <mergeCell ref="O33:P33"/>
    <mergeCell ref="A35:A36"/>
    <mergeCell ref="B35:B36"/>
    <mergeCell ref="C35:E35"/>
    <mergeCell ref="F35:F36"/>
    <mergeCell ref="I35:I36"/>
    <mergeCell ref="J35:J36"/>
    <mergeCell ref="K35:M35"/>
    <mergeCell ref="N35:N36"/>
    <mergeCell ref="C36:E36"/>
    <mergeCell ref="K36:M36"/>
    <mergeCell ref="A37:P37"/>
    <mergeCell ref="A38:B38"/>
    <mergeCell ref="C38:D38"/>
    <mergeCell ref="G38:H38"/>
    <mergeCell ref="I38:J38"/>
    <mergeCell ref="K38:L38"/>
    <mergeCell ref="O38:P38"/>
    <mergeCell ref="A39:B39"/>
    <mergeCell ref="C39:D39"/>
    <mergeCell ref="G39:H39"/>
    <mergeCell ref="I39:J39"/>
    <mergeCell ref="K39:L39"/>
    <mergeCell ref="O39:P39"/>
    <mergeCell ref="O41:P41"/>
    <mergeCell ref="A40:B40"/>
    <mergeCell ref="C40:D40"/>
    <mergeCell ref="G40:H40"/>
    <mergeCell ref="I40:J40"/>
    <mergeCell ref="K40:L40"/>
    <mergeCell ref="O40:P40"/>
    <mergeCell ref="G43:H43"/>
    <mergeCell ref="A44:P44"/>
    <mergeCell ref="I42:J42"/>
    <mergeCell ref="K42:L42"/>
    <mergeCell ref="O42:P42"/>
    <mergeCell ref="A41:B41"/>
    <mergeCell ref="C41:D41"/>
    <mergeCell ref="G41:H41"/>
    <mergeCell ref="I41:J41"/>
    <mergeCell ref="K41:L41"/>
    <mergeCell ref="A45:P45"/>
    <mergeCell ref="A46:P46"/>
    <mergeCell ref="A52:A53"/>
    <mergeCell ref="C52:D52"/>
    <mergeCell ref="C53:D53"/>
    <mergeCell ref="A42:B42"/>
    <mergeCell ref="C42:D42"/>
    <mergeCell ref="G42:H42"/>
    <mergeCell ref="A43:B43"/>
    <mergeCell ref="C43:D43"/>
  </mergeCells>
  <hyperlinks>
    <hyperlink ref="A1" location="Содержание прайса!A1" display="Вернуться в начало"/>
    <hyperlink ref="A1:C1" location="'Содержание прайса'!A1" display="Вернуться в начало"/>
  </hyperlinks>
  <printOptions horizontalCentered="1"/>
  <pageMargins left="0" right="0" top="0.47244094488188981" bottom="0" header="0" footer="0"/>
  <pageSetup paperSize="9" scale="46" firstPageNumber="0" orientation="landscape" r:id="rId1"/>
  <headerFooter scaleWithDoc="0">
    <oddHeader xml:space="preserve">&amp;L&amp;G&amp;R&amp;5Центр поддержки клиентов Grand Line: +7 (495) 748-38-38
cайт: www.grandline.ru   </oddHeader>
    <oddFooter>&amp;R&amp;5Страница 36</oddFooter>
  </headerFooter>
  <drawing r:id="rId2"/>
  <legacy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92"/>
  <sheetViews>
    <sheetView zoomScale="70" zoomScaleNormal="70" workbookViewId="0">
      <selection sqref="A1:C1"/>
    </sheetView>
  </sheetViews>
  <sheetFormatPr defaultRowHeight="12.75"/>
  <cols>
    <col min="1" max="1" width="12.28515625" style="46" customWidth="1"/>
    <col min="2" max="2" width="20.7109375" style="46" customWidth="1"/>
    <col min="3" max="3" width="9.85546875" style="46" customWidth="1"/>
    <col min="4" max="4" width="8" style="46" customWidth="1"/>
    <col min="5" max="5" width="5.7109375" style="46" customWidth="1"/>
    <col min="6" max="6" width="10.5703125" style="46" customWidth="1"/>
    <col min="7" max="11" width="11.7109375" style="46" customWidth="1"/>
    <col min="12" max="12" width="3.42578125" style="46" customWidth="1"/>
    <col min="13" max="13" width="12.42578125" style="46" customWidth="1"/>
    <col min="14" max="14" width="20.7109375" style="46" customWidth="1"/>
    <col min="15" max="15" width="9.85546875" style="46" customWidth="1"/>
    <col min="16" max="16" width="8" style="46" customWidth="1"/>
    <col min="17" max="17" width="5.7109375" style="46" customWidth="1"/>
    <col min="18" max="18" width="10.5703125" style="46" customWidth="1"/>
    <col min="19" max="23" width="11.85546875" style="46" customWidth="1"/>
    <col min="24" max="16384" width="9.140625" style="46"/>
  </cols>
  <sheetData>
    <row r="1" spans="1:23">
      <c r="A1" s="1666" t="s">
        <v>312</v>
      </c>
      <c r="B1" s="1666"/>
      <c r="C1" s="1666"/>
      <c r="D1" s="228"/>
      <c r="E1" s="228"/>
      <c r="F1" s="501"/>
      <c r="G1" s="501"/>
      <c r="H1" s="502"/>
      <c r="I1" s="502"/>
      <c r="J1" s="502"/>
      <c r="K1" s="502"/>
      <c r="L1" s="502"/>
      <c r="M1" s="151"/>
      <c r="N1" s="151"/>
      <c r="O1" s="151"/>
      <c r="P1" s="151"/>
      <c r="Q1" s="151"/>
      <c r="R1" s="151"/>
      <c r="S1" s="151"/>
      <c r="T1" s="151"/>
      <c r="U1" s="151"/>
      <c r="V1" s="151"/>
      <c r="W1" s="151"/>
    </row>
    <row r="2" spans="1:23" ht="18.75" thickBot="1">
      <c r="A2" s="1273" t="s">
        <v>6490</v>
      </c>
      <c r="B2" s="1273"/>
      <c r="C2" s="1273"/>
      <c r="D2" s="1273"/>
      <c r="E2" s="1273"/>
      <c r="F2" s="1273"/>
      <c r="G2" s="1273"/>
      <c r="H2" s="1273"/>
      <c r="I2" s="1273"/>
      <c r="J2" s="1273"/>
      <c r="K2" s="1273"/>
      <c r="L2" s="1273"/>
      <c r="M2" s="1273"/>
      <c r="N2" s="1273"/>
      <c r="O2" s="1273"/>
      <c r="P2" s="1273"/>
      <c r="Q2" s="1273"/>
      <c r="R2" s="1273"/>
      <c r="S2" s="746"/>
      <c r="T2" s="746"/>
      <c r="U2" s="956" t="s">
        <v>313</v>
      </c>
      <c r="V2" s="2537">
        <v>43286</v>
      </c>
      <c r="W2" s="2537"/>
    </row>
    <row r="3" spans="1:23">
      <c r="A3" s="2538" t="s">
        <v>3792</v>
      </c>
      <c r="B3" s="2538"/>
      <c r="C3" s="2538"/>
      <c r="D3" s="2538"/>
      <c r="E3" s="2538"/>
      <c r="F3" s="2538"/>
      <c r="G3" s="2538"/>
      <c r="H3" s="2538"/>
      <c r="I3" s="2538"/>
      <c r="J3" s="2538"/>
      <c r="K3" s="2538"/>
      <c r="L3" s="2538"/>
      <c r="M3" s="2538"/>
      <c r="N3" s="2538"/>
      <c r="O3" s="2538"/>
      <c r="P3" s="2538"/>
      <c r="Q3" s="2538"/>
      <c r="R3" s="2538"/>
      <c r="S3" s="2538"/>
      <c r="T3" s="859"/>
      <c r="U3" s="2" t="s">
        <v>804</v>
      </c>
      <c r="V3" s="2539">
        <v>43264</v>
      </c>
      <c r="W3" s="2539"/>
    </row>
    <row r="4" spans="1:23" ht="18.75" customHeight="1">
      <c r="A4" s="1491" t="s">
        <v>307</v>
      </c>
      <c r="B4" s="1491"/>
      <c r="C4" s="1388" t="s">
        <v>3793</v>
      </c>
      <c r="D4" s="1388"/>
      <c r="E4" s="1388" t="s">
        <v>622</v>
      </c>
      <c r="F4" s="1495" t="s">
        <v>2986</v>
      </c>
      <c r="G4" s="1491" t="s">
        <v>3656</v>
      </c>
      <c r="H4" s="1491"/>
      <c r="I4" s="1491"/>
      <c r="J4" s="1491"/>
      <c r="K4" s="1491"/>
      <c r="M4" s="1491" t="s">
        <v>307</v>
      </c>
      <c r="N4" s="1491"/>
      <c r="O4" s="1388" t="s">
        <v>3793</v>
      </c>
      <c r="P4" s="1388"/>
      <c r="Q4" s="1388" t="s">
        <v>622</v>
      </c>
      <c r="R4" s="1495" t="s">
        <v>2986</v>
      </c>
      <c r="S4" s="1491" t="s">
        <v>3656</v>
      </c>
      <c r="T4" s="1491"/>
      <c r="U4" s="1491"/>
      <c r="V4" s="1491"/>
      <c r="W4" s="1491"/>
    </row>
    <row r="5" spans="1:23" ht="18.75" customHeight="1">
      <c r="A5" s="1491"/>
      <c r="B5" s="1491"/>
      <c r="C5" s="1388"/>
      <c r="D5" s="1388"/>
      <c r="E5" s="1388"/>
      <c r="F5" s="1470"/>
      <c r="G5" s="1495" t="s">
        <v>3546</v>
      </c>
      <c r="H5" s="1495" t="s">
        <v>3605</v>
      </c>
      <c r="I5" s="1495" t="s">
        <v>3606</v>
      </c>
      <c r="J5" s="1495" t="s">
        <v>3607</v>
      </c>
      <c r="K5" s="1495" t="s">
        <v>3608</v>
      </c>
      <c r="M5" s="1491"/>
      <c r="N5" s="1491"/>
      <c r="O5" s="1388"/>
      <c r="P5" s="1388"/>
      <c r="Q5" s="1388"/>
      <c r="R5" s="1470"/>
      <c r="S5" s="1388" t="s">
        <v>3546</v>
      </c>
      <c r="T5" s="1388" t="s">
        <v>3605</v>
      </c>
      <c r="U5" s="1388" t="s">
        <v>3606</v>
      </c>
      <c r="V5" s="1388" t="s">
        <v>3607</v>
      </c>
      <c r="W5" s="1388" t="s">
        <v>3608</v>
      </c>
    </row>
    <row r="6" spans="1:23">
      <c r="A6" s="1491"/>
      <c r="B6" s="1491"/>
      <c r="C6" s="224" t="s">
        <v>4197</v>
      </c>
      <c r="D6" s="107" t="s">
        <v>4198</v>
      </c>
      <c r="E6" s="1388"/>
      <c r="F6" s="1496"/>
      <c r="G6" s="1470"/>
      <c r="H6" s="1470"/>
      <c r="I6" s="1470"/>
      <c r="J6" s="1470"/>
      <c r="K6" s="1470"/>
      <c r="M6" s="1491"/>
      <c r="N6" s="1491"/>
      <c r="O6" s="224" t="s">
        <v>4197</v>
      </c>
      <c r="P6" s="107" t="s">
        <v>4199</v>
      </c>
      <c r="Q6" s="1388"/>
      <c r="R6" s="1496"/>
      <c r="S6" s="1388"/>
      <c r="T6" s="1388"/>
      <c r="U6" s="1388"/>
      <c r="V6" s="1388"/>
      <c r="W6" s="1388"/>
    </row>
    <row r="7" spans="1:23">
      <c r="A7" s="1618"/>
      <c r="B7" s="1332" t="s">
        <v>3794</v>
      </c>
      <c r="C7" s="1281">
        <v>1512</v>
      </c>
      <c r="D7" s="1281">
        <v>54</v>
      </c>
      <c r="E7" s="1281" t="s">
        <v>631</v>
      </c>
      <c r="F7" s="282">
        <v>0.35</v>
      </c>
      <c r="G7" s="221">
        <f>ROUND(31.97*Belarus*(1-C92),2)</f>
        <v>31.97</v>
      </c>
      <c r="H7" s="223">
        <f>ROUND(28.81*Belarus*(1-C92),2)</f>
        <v>28.81</v>
      </c>
      <c r="I7" s="221">
        <f>ROUND(26.69*Belarus*(1-C92),2)</f>
        <v>26.69</v>
      </c>
      <c r="J7" s="219">
        <f>ROUND(27.06*Belarus*(1-C92),2)</f>
        <v>27.06</v>
      </c>
      <c r="K7" s="221">
        <f>ROUND(28.19*Belarus*(1-C92),2)</f>
        <v>28.19</v>
      </c>
      <c r="M7" s="1618"/>
      <c r="N7" s="1332" t="s">
        <v>3795</v>
      </c>
      <c r="O7" s="1281">
        <v>900</v>
      </c>
      <c r="P7" s="1281">
        <v>36</v>
      </c>
      <c r="Q7" s="1281" t="s">
        <v>631</v>
      </c>
      <c r="R7" s="282">
        <v>0.35</v>
      </c>
      <c r="S7" s="221">
        <f>ROUND(39.25*Belarus*(1-C92),2)</f>
        <v>39.25</v>
      </c>
      <c r="T7" s="223">
        <f>ROUND(37.62*Belarus*(1-C92),2)</f>
        <v>37.619999999999997</v>
      </c>
      <c r="U7" s="221">
        <f>ROUND(37.31*Belarus*(1-C92),2)</f>
        <v>37.31</v>
      </c>
      <c r="V7" s="219">
        <f>ROUND(33.93*Belarus*(1-C92),2)</f>
        <v>33.93</v>
      </c>
      <c r="W7" s="221">
        <f>ROUND(35.34*Belarus*(1-C92),2)</f>
        <v>35.340000000000003</v>
      </c>
    </row>
    <row r="8" spans="1:23" s="184" customFormat="1">
      <c r="A8" s="1618"/>
      <c r="B8" s="1332"/>
      <c r="C8" s="1281"/>
      <c r="D8" s="1281"/>
      <c r="E8" s="1281"/>
      <c r="F8" s="282">
        <v>0.4</v>
      </c>
      <c r="G8" s="221">
        <f>ROUND(33.74*Belarus*(1-C92),2)</f>
        <v>33.74</v>
      </c>
      <c r="H8" s="223">
        <f>ROUND(31.5*Belarus*(1-C92),2)</f>
        <v>31.5</v>
      </c>
      <c r="I8" s="221">
        <f>ROUND(29.75*Belarus*(1-C92),2)</f>
        <v>29.75</v>
      </c>
      <c r="J8" s="219">
        <f>ROUND(29.3*Belarus*(1-C92),2)</f>
        <v>29.3</v>
      </c>
      <c r="K8" s="221">
        <f>ROUND(31.05*Belarus*(1-C92),2)</f>
        <v>31.05</v>
      </c>
      <c r="M8" s="1618"/>
      <c r="N8" s="1332"/>
      <c r="O8" s="1281"/>
      <c r="P8" s="1281"/>
      <c r="Q8" s="1281"/>
      <c r="R8" s="282">
        <v>0.4</v>
      </c>
      <c r="S8" s="221">
        <f>ROUND(43.4*Belarus*(1-C92),2)</f>
        <v>43.4</v>
      </c>
      <c r="T8" s="223">
        <f>ROUND(42.22*Belarus*(1-C92),2)</f>
        <v>42.22</v>
      </c>
      <c r="U8" s="221">
        <f>ROUND(41.62*Belarus*(1-C92),2)</f>
        <v>41.62</v>
      </c>
      <c r="V8" s="219">
        <f>ROUND(36.72*Belarus*(1-C92),2)</f>
        <v>36.72</v>
      </c>
      <c r="W8" s="221">
        <f>ROUND(39.5*Belarus*(1-C92),2)</f>
        <v>39.5</v>
      </c>
    </row>
    <row r="9" spans="1:23" s="184" customFormat="1">
      <c r="A9" s="1618"/>
      <c r="B9" s="1332"/>
      <c r="C9" s="1281"/>
      <c r="D9" s="1281"/>
      <c r="E9" s="1281"/>
      <c r="F9" s="282">
        <v>0.45</v>
      </c>
      <c r="G9" s="221">
        <f>ROUND(35.88*Belarus*(1-C92),2)</f>
        <v>35.880000000000003</v>
      </c>
      <c r="H9" s="223">
        <f>ROUND(35.45*Belarus*(1-C92),2)</f>
        <v>35.450000000000003</v>
      </c>
      <c r="I9" s="221">
        <f>ROUND(31.36*Belarus*(1-C92),2)</f>
        <v>31.36</v>
      </c>
      <c r="J9" s="219">
        <f>ROUND(32.63*Belarus*(1-C92),2)</f>
        <v>32.630000000000003</v>
      </c>
      <c r="K9" s="221">
        <f>ROUND(34.34*Belarus*(1-C92),2)</f>
        <v>34.340000000000003</v>
      </c>
      <c r="M9" s="1618"/>
      <c r="N9" s="1332"/>
      <c r="O9" s="1281"/>
      <c r="P9" s="1281"/>
      <c r="Q9" s="1281"/>
      <c r="R9" s="282">
        <v>0.45</v>
      </c>
      <c r="S9" s="221">
        <f>ROUND(46.56*Belarus*(1-C92),2)</f>
        <v>46.56</v>
      </c>
      <c r="T9" s="223">
        <f>ROUND(45.59*Belarus*(1-C92),2)</f>
        <v>45.59</v>
      </c>
      <c r="U9" s="221">
        <f>ROUND(43.86*Belarus*(1-C92),2)</f>
        <v>43.86</v>
      </c>
      <c r="V9" s="219">
        <f>ROUND(40.91*Belarus*(1-C92),2)</f>
        <v>40.909999999999997</v>
      </c>
      <c r="W9" s="221">
        <f>ROUND(43.04*Belarus*(1-C92),2)</f>
        <v>43.04</v>
      </c>
    </row>
    <row r="10" spans="1:23" s="184" customFormat="1">
      <c r="A10" s="1618"/>
      <c r="B10" s="1332"/>
      <c r="C10" s="1281"/>
      <c r="D10" s="1281"/>
      <c r="E10" s="1281"/>
      <c r="F10" s="282">
        <v>0.5</v>
      </c>
      <c r="G10" s="221">
        <f>ROUND(39.8*Belarus*(1-C92),2)</f>
        <v>39.799999999999997</v>
      </c>
      <c r="H10" s="223">
        <f>ROUND(39.8*Belarus*(1-C92),2)</f>
        <v>39.799999999999997</v>
      </c>
      <c r="I10" s="221">
        <f>ROUND(33.82*Belarus*(1-C92),2)</f>
        <v>33.82</v>
      </c>
      <c r="J10" s="219">
        <f>ROUND(35.34*Belarus*(1-C92),2)</f>
        <v>35.340000000000003</v>
      </c>
      <c r="K10" s="221">
        <f>ROUND(36.81*Belarus*(1-C92),2)</f>
        <v>36.81</v>
      </c>
      <c r="M10" s="1618"/>
      <c r="N10" s="1332"/>
      <c r="O10" s="1281"/>
      <c r="P10" s="1281"/>
      <c r="Q10" s="1281"/>
      <c r="R10" s="282">
        <v>0.5</v>
      </c>
      <c r="S10" s="221">
        <f>ROUND(47.36*Belarus*(1-C92),2)</f>
        <v>47.36</v>
      </c>
      <c r="T10" s="223">
        <f>ROUND(51.2*Belarus*(1-C92),2)</f>
        <v>51.2</v>
      </c>
      <c r="U10" s="221">
        <f>ROUND(47.31*Belarus*(1-C92),2)</f>
        <v>47.31</v>
      </c>
      <c r="V10" s="219">
        <f>ROUND(44.29*Belarus*(1-C92),2)</f>
        <v>44.29</v>
      </c>
      <c r="W10" s="221">
        <f>ROUND(46.15*Belarus*(1-C92),2)</f>
        <v>46.15</v>
      </c>
    </row>
    <row r="11" spans="1:23" s="184" customFormat="1">
      <c r="A11" s="1618"/>
      <c r="B11" s="1332"/>
      <c r="C11" s="1281"/>
      <c r="D11" s="1281"/>
      <c r="E11" s="1281"/>
      <c r="F11" s="282">
        <v>0.55000000000000004</v>
      </c>
      <c r="G11" s="221">
        <f>ROUND(42.57*Belarus*(1-C92),2)</f>
        <v>42.57</v>
      </c>
      <c r="H11" s="223">
        <f>ROUND(44.14*Belarus*(1-C92),2)</f>
        <v>44.14</v>
      </c>
      <c r="I11" s="221">
        <f>ROUND(38.31*Belarus*(1-C92),2)</f>
        <v>38.31</v>
      </c>
      <c r="J11" s="219" t="s">
        <v>369</v>
      </c>
      <c r="K11" s="221">
        <f>ROUND(43.11*Belarus*(1-C92),2)</f>
        <v>43.11</v>
      </c>
      <c r="M11" s="1618"/>
      <c r="N11" s="1332"/>
      <c r="O11" s="1281"/>
      <c r="P11" s="1281"/>
      <c r="Q11" s="1281"/>
      <c r="R11" s="282">
        <v>0.55000000000000004</v>
      </c>
      <c r="S11" s="221">
        <f>ROUND(53.43*Belarus*(1-C92),2)</f>
        <v>53.43</v>
      </c>
      <c r="T11" s="223">
        <f>ROUND(54.07*Belarus*(1-C92),2)</f>
        <v>54.07</v>
      </c>
      <c r="U11" s="221">
        <f>ROUND(53.58*Belarus*(1-C92),2)</f>
        <v>53.58</v>
      </c>
      <c r="V11" s="219" t="s">
        <v>369</v>
      </c>
      <c r="W11" s="221">
        <f>ROUND(54.05*Belarus*(1-C92),2)</f>
        <v>54.05</v>
      </c>
    </row>
    <row r="12" spans="1:23" s="184" customFormat="1" ht="13.5" thickBot="1">
      <c r="A12" s="1907"/>
      <c r="B12" s="1995"/>
      <c r="C12" s="1891"/>
      <c r="D12" s="1891"/>
      <c r="E12" s="1891"/>
      <c r="F12" s="857">
        <v>0.6</v>
      </c>
      <c r="G12" s="1185">
        <f>ROUND(46.9*Belarus*(1-C92),2)</f>
        <v>46.9</v>
      </c>
      <c r="H12" s="1183">
        <f>ROUND(47.67*Belarus*(1-C92),2)</f>
        <v>47.67</v>
      </c>
      <c r="I12" s="1185">
        <f>ROUND(41.73*Belarus*(1-C92),2)</f>
        <v>41.73</v>
      </c>
      <c r="J12" s="1189">
        <f>ROUND(44.57*Belarus*(1-C92),2)</f>
        <v>44.57</v>
      </c>
      <c r="K12" s="1185">
        <f>ROUND(47.43*Belarus*(1-C92),2)</f>
        <v>47.43</v>
      </c>
      <c r="M12" s="1907"/>
      <c r="N12" s="1995"/>
      <c r="O12" s="1891"/>
      <c r="P12" s="1891"/>
      <c r="Q12" s="1891"/>
      <c r="R12" s="857">
        <v>0.6</v>
      </c>
      <c r="S12" s="1185">
        <f>ROUND(59.18*Belarus*(1-C92),2)</f>
        <v>59.18</v>
      </c>
      <c r="T12" s="1183">
        <f>ROUND(58.91*Belarus*(1-C92),2)</f>
        <v>58.91</v>
      </c>
      <c r="U12" s="1185">
        <f>ROUND(58.37*Belarus*(1-C92),2)</f>
        <v>58.37</v>
      </c>
      <c r="V12" s="1189">
        <f>ROUND(55.88*Belarus*(1-C92),2)</f>
        <v>55.88</v>
      </c>
      <c r="W12" s="1185">
        <f>ROUND(59.45*Belarus*(1-C92),2)</f>
        <v>59.45</v>
      </c>
    </row>
    <row r="13" spans="1:23" s="184" customFormat="1" ht="13.5" thickTop="1">
      <c r="A13" s="2540"/>
      <c r="B13" s="2541" t="s">
        <v>3796</v>
      </c>
      <c r="C13" s="2542">
        <v>2688</v>
      </c>
      <c r="D13" s="2542">
        <v>96</v>
      </c>
      <c r="E13" s="2542" t="s">
        <v>631</v>
      </c>
      <c r="F13" s="860">
        <v>0.35</v>
      </c>
      <c r="G13" s="1114">
        <f>ROUND(19.62*Belarus*(1-C92),2)</f>
        <v>19.62</v>
      </c>
      <c r="H13" s="1107">
        <f>ROUND(17.24*Belarus*(1-C92),2)</f>
        <v>17.239999999999998</v>
      </c>
      <c r="I13" s="1114">
        <f>ROUND(16.25*Belarus*(1-C92),2)</f>
        <v>16.25</v>
      </c>
      <c r="J13" s="1190">
        <f>ROUND(16.2*Belarus*(1-C92),2)</f>
        <v>16.2</v>
      </c>
      <c r="K13" s="1114">
        <f>ROUND(16.86*Belarus*(1-C92),2)</f>
        <v>16.86</v>
      </c>
      <c r="M13" s="2540"/>
      <c r="N13" s="2541" t="s">
        <v>3797</v>
      </c>
      <c r="O13" s="2542">
        <v>720</v>
      </c>
      <c r="P13" s="2542">
        <v>36</v>
      </c>
      <c r="Q13" s="2542" t="s">
        <v>631</v>
      </c>
      <c r="R13" s="860">
        <v>0.35</v>
      </c>
      <c r="S13" s="1114">
        <f>ROUND(52.72*Belarus*(1-C92),2)</f>
        <v>52.72</v>
      </c>
      <c r="T13" s="1107">
        <f>ROUND(51.87*Belarus*(1-C92),2)</f>
        <v>51.87</v>
      </c>
      <c r="U13" s="1114">
        <f>ROUND(52.22*Belarus*(1-C92),2)</f>
        <v>52.22</v>
      </c>
      <c r="V13" s="1190">
        <f>ROUND(47.47*Belarus*(1-C92),2)</f>
        <v>47.47</v>
      </c>
      <c r="W13" s="1114">
        <f>ROUND(49.45*Belarus*(1-C92),2)</f>
        <v>49.45</v>
      </c>
    </row>
    <row r="14" spans="1:23" s="184" customFormat="1">
      <c r="A14" s="1618"/>
      <c r="B14" s="1332"/>
      <c r="C14" s="1281"/>
      <c r="D14" s="1281"/>
      <c r="E14" s="1281"/>
      <c r="F14" s="282">
        <v>0.4</v>
      </c>
      <c r="G14" s="221">
        <f>ROUND(20.19*Belarus*(1-C92),2)</f>
        <v>20.190000000000001</v>
      </c>
      <c r="H14" s="223">
        <f>ROUND(18.84*Belarus*(1-C92),2)</f>
        <v>18.84</v>
      </c>
      <c r="I14" s="221">
        <f>ROUND(18.13*Belarus*(1-C92),2)</f>
        <v>18.13</v>
      </c>
      <c r="J14" s="219">
        <f>ROUND(17.53*Belarus*(1-C92),2)</f>
        <v>17.53</v>
      </c>
      <c r="K14" s="221">
        <f>ROUND(18.85*Belarus*(1-C92),2)</f>
        <v>18.850000000000001</v>
      </c>
      <c r="M14" s="1618"/>
      <c r="N14" s="1332"/>
      <c r="O14" s="1281"/>
      <c r="P14" s="1281"/>
      <c r="Q14" s="1281"/>
      <c r="R14" s="282">
        <v>0.4</v>
      </c>
      <c r="S14" s="221">
        <f>ROUND(58.79*Belarus*(1-C92),2)</f>
        <v>58.79</v>
      </c>
      <c r="T14" s="223">
        <f>ROUND(56.72*Belarus*(1-C92),2)</f>
        <v>56.72</v>
      </c>
      <c r="U14" s="221">
        <f>ROUND(58.24*Belarus*(1-C92),2)</f>
        <v>58.24</v>
      </c>
      <c r="V14" s="219">
        <f>ROUND(51.38*Belarus*(1-C92),2)</f>
        <v>51.38</v>
      </c>
      <c r="W14" s="221">
        <f>ROUND(55.27*Belarus*(1-C92),2)</f>
        <v>55.27</v>
      </c>
    </row>
    <row r="15" spans="1:23" s="184" customFormat="1">
      <c r="A15" s="1618"/>
      <c r="B15" s="1332"/>
      <c r="C15" s="1281"/>
      <c r="D15" s="1281"/>
      <c r="E15" s="1281"/>
      <c r="F15" s="282">
        <v>0.45</v>
      </c>
      <c r="G15" s="221">
        <f>ROUND(22.02*Belarus*(1-C92),2)</f>
        <v>22.02</v>
      </c>
      <c r="H15" s="223">
        <f>ROUND(21.21*Belarus*(1-C92),2)</f>
        <v>21.21</v>
      </c>
      <c r="I15" s="221">
        <f>ROUND(19.11*Belarus*(1-C92),2)</f>
        <v>19.11</v>
      </c>
      <c r="J15" s="219">
        <f>ROUND(19.52*Belarus*(1-C92),2)</f>
        <v>19.52</v>
      </c>
      <c r="K15" s="221">
        <f>ROUND(20.54*Belarus*(1-C92),2)</f>
        <v>20.54</v>
      </c>
      <c r="M15" s="1618"/>
      <c r="N15" s="1332"/>
      <c r="O15" s="1281"/>
      <c r="P15" s="1281"/>
      <c r="Q15" s="1281"/>
      <c r="R15" s="282">
        <v>0.45</v>
      </c>
      <c r="S15" s="221">
        <f>ROUND(63.73*Belarus*(1-C92),2)</f>
        <v>63.73</v>
      </c>
      <c r="T15" s="223">
        <f>ROUND(63.81*Belarus*(1-C92),2)</f>
        <v>63.81</v>
      </c>
      <c r="U15" s="221">
        <f>ROUND(61.37*Belarus*(1-C92),2)</f>
        <v>61.37</v>
      </c>
      <c r="V15" s="219">
        <f>ROUND(57.25*Belarus*(1-C92),2)</f>
        <v>57.25</v>
      </c>
      <c r="W15" s="221">
        <f>ROUND(60.22*Belarus*(1-C92),2)</f>
        <v>60.22</v>
      </c>
    </row>
    <row r="16" spans="1:23" s="184" customFormat="1">
      <c r="A16" s="1618"/>
      <c r="B16" s="1332"/>
      <c r="C16" s="1281"/>
      <c r="D16" s="1281"/>
      <c r="E16" s="1281"/>
      <c r="F16" s="282">
        <v>0.5</v>
      </c>
      <c r="G16" s="221">
        <f>ROUND(23.02*Belarus*(1-C92),2)</f>
        <v>23.02</v>
      </c>
      <c r="H16" s="223">
        <f>ROUND(23.81*Belarus*(1-C92),2)</f>
        <v>23.81</v>
      </c>
      <c r="I16" s="221">
        <f>ROUND(20.6*Belarus*(1-C92),2)</f>
        <v>20.6</v>
      </c>
      <c r="J16" s="219">
        <f>ROUND(21.14*Belarus*(1-C92),2)</f>
        <v>21.14</v>
      </c>
      <c r="K16" s="221">
        <f>ROUND(22.02*Belarus*(1-C92),2)</f>
        <v>22.02</v>
      </c>
      <c r="M16" s="1618"/>
      <c r="N16" s="1332"/>
      <c r="O16" s="1281"/>
      <c r="P16" s="1281"/>
      <c r="Q16" s="1281"/>
      <c r="R16" s="282">
        <v>0.5</v>
      </c>
      <c r="S16" s="221">
        <f>ROUND(68.32*Belarus*(1-C92),2)</f>
        <v>68.319999999999993</v>
      </c>
      <c r="T16" s="223">
        <f>ROUND(71.65*Belarus*(1-C92),2)</f>
        <v>71.650000000000006</v>
      </c>
      <c r="U16" s="221">
        <f>ROUND(66.19*Belarus*(1-C92),2)</f>
        <v>66.19</v>
      </c>
      <c r="V16" s="219">
        <f>ROUND(62.01*Belarus*(1-C92),2)</f>
        <v>62.01</v>
      </c>
      <c r="W16" s="221">
        <f>ROUND(64.59*Belarus*(1-C92),2)</f>
        <v>64.59</v>
      </c>
    </row>
    <row r="17" spans="1:23" s="184" customFormat="1">
      <c r="A17" s="1618"/>
      <c r="B17" s="1332"/>
      <c r="C17" s="1281"/>
      <c r="D17" s="1281"/>
      <c r="E17" s="1281"/>
      <c r="F17" s="282">
        <v>0.55000000000000004</v>
      </c>
      <c r="G17" s="221">
        <f>ROUND(24.87*Belarus*(1-C92),2)</f>
        <v>24.87</v>
      </c>
      <c r="H17" s="223">
        <f>ROUND(26.42*Belarus*(1-C92),2)</f>
        <v>26.42</v>
      </c>
      <c r="I17" s="221">
        <f>ROUND(23.34*Belarus*(1-C92),2)</f>
        <v>23.34</v>
      </c>
      <c r="J17" s="219" t="s">
        <v>369</v>
      </c>
      <c r="K17" s="221">
        <f>ROUND(25.31*Belarus*(1-C92),2)</f>
        <v>25.31</v>
      </c>
      <c r="M17" s="1618"/>
      <c r="N17" s="1332"/>
      <c r="O17" s="1281"/>
      <c r="P17" s="1281"/>
      <c r="Q17" s="1281"/>
      <c r="R17" s="282">
        <v>0.55000000000000004</v>
      </c>
      <c r="S17" s="221">
        <f>ROUND(73.84*Belarus*(1-C92),2)</f>
        <v>73.84</v>
      </c>
      <c r="T17" s="223">
        <f>ROUND(75.7*Belarus*(1-C92),2)</f>
        <v>75.7</v>
      </c>
      <c r="U17" s="221">
        <f>ROUND(74.98*Belarus*(1-C92),2)</f>
        <v>74.98</v>
      </c>
      <c r="V17" s="219" t="s">
        <v>369</v>
      </c>
      <c r="W17" s="221">
        <f>ROUND(75.64*Belarus*(1-C92),2)</f>
        <v>75.64</v>
      </c>
    </row>
    <row r="18" spans="1:23" s="184" customFormat="1" ht="13.5" thickBot="1">
      <c r="A18" s="1907"/>
      <c r="B18" s="1995"/>
      <c r="C18" s="1891"/>
      <c r="D18" s="1891"/>
      <c r="E18" s="1891"/>
      <c r="F18" s="857">
        <v>0.6</v>
      </c>
      <c r="G18" s="1185">
        <f>ROUND(28.8*Belarus*(1-C92),2)</f>
        <v>28.8</v>
      </c>
      <c r="H18" s="1183">
        <f>ROUND(28.52*Belarus*(1-C92),2)</f>
        <v>28.52</v>
      </c>
      <c r="I18" s="1185">
        <f>ROUND(25.42*Belarus*(1-C92),2)</f>
        <v>25.42</v>
      </c>
      <c r="J18" s="1189">
        <f>ROUND(26.68*Belarus*(1-C92),2)</f>
        <v>26.68</v>
      </c>
      <c r="K18" s="1185">
        <f>ROUND(28.37*Belarus*(1-C92),2)</f>
        <v>28.37</v>
      </c>
      <c r="M18" s="2543"/>
      <c r="N18" s="2544"/>
      <c r="O18" s="2545"/>
      <c r="P18" s="2545"/>
      <c r="Q18" s="2545"/>
      <c r="R18" s="861">
        <v>0.6</v>
      </c>
      <c r="S18" s="1115">
        <f>ROUND(79.89*Belarus*(1-C92),2)</f>
        <v>79.89</v>
      </c>
      <c r="T18" s="1108">
        <f>ROUND(82.7*Belarus*(1-C92),2)</f>
        <v>82.7</v>
      </c>
      <c r="U18" s="1115">
        <f>ROUND(81.67*Belarus*(1-C92),2)</f>
        <v>81.67</v>
      </c>
      <c r="V18" s="1191">
        <f>ROUND(78.19*Belarus*(1-C92),2)</f>
        <v>78.19</v>
      </c>
      <c r="W18" s="1115">
        <f>ROUND(83.2*Belarus*(1-C92),2)</f>
        <v>83.2</v>
      </c>
    </row>
    <row r="19" spans="1:23" s="184" customFormat="1" ht="13.5" thickTop="1">
      <c r="A19" s="2540"/>
      <c r="B19" s="2541" t="s">
        <v>3798</v>
      </c>
      <c r="C19" s="2542">
        <v>1080</v>
      </c>
      <c r="D19" s="2542">
        <v>54</v>
      </c>
      <c r="E19" s="2542" t="s">
        <v>631</v>
      </c>
      <c r="F19" s="860">
        <v>0.35</v>
      </c>
      <c r="G19" s="1114">
        <f>ROUND(42.74*Belarus*(1-C92),2)</f>
        <v>42.74</v>
      </c>
      <c r="H19" s="1107">
        <f>ROUND(39.25*Belarus*(1-C92),2)</f>
        <v>39.25</v>
      </c>
      <c r="I19" s="1114">
        <f>ROUND(39.52*Belarus*(1-C92),2)</f>
        <v>39.520000000000003</v>
      </c>
      <c r="J19" s="1190">
        <f>ROUND(35.94*Belarus*(1-C92),2)</f>
        <v>35.94</v>
      </c>
      <c r="K19" s="1114">
        <f>ROUND(37.43*Belarus*(1-C92),2)</f>
        <v>37.43</v>
      </c>
      <c r="M19" s="1909"/>
      <c r="N19" s="2001" t="s">
        <v>3799</v>
      </c>
      <c r="O19" s="1893">
        <v>720</v>
      </c>
      <c r="P19" s="1893">
        <v>36</v>
      </c>
      <c r="Q19" s="1893" t="s">
        <v>631</v>
      </c>
      <c r="R19" s="858">
        <v>0.35</v>
      </c>
      <c r="S19" s="1055">
        <f>ROUND(46.27*Belarus*(1-C92),2)</f>
        <v>46.27</v>
      </c>
      <c r="T19" s="1184">
        <f>ROUND(42.87*Belarus*(1-C92),2)</f>
        <v>42.87</v>
      </c>
      <c r="U19" s="1055">
        <f>ROUND(43.15*Belarus*(1-C92),2)</f>
        <v>43.15</v>
      </c>
      <c r="V19" s="1192">
        <f>ROUND(39.23*Belarus*(1-C92),2)</f>
        <v>39.229999999999997</v>
      </c>
      <c r="W19" s="1055">
        <f>ROUND(40.87*Belarus*(1-C92),2)</f>
        <v>40.869999999999997</v>
      </c>
    </row>
    <row r="20" spans="1:23" s="184" customFormat="1">
      <c r="A20" s="1618"/>
      <c r="B20" s="1332"/>
      <c r="C20" s="1281"/>
      <c r="D20" s="1281"/>
      <c r="E20" s="1281"/>
      <c r="F20" s="282">
        <v>0.4</v>
      </c>
      <c r="G20" s="221">
        <f>ROUND(45.9*Belarus*(1-C92),2)</f>
        <v>45.9</v>
      </c>
      <c r="H20" s="223">
        <f>ROUND(42.92*Belarus*(1-C92),2)</f>
        <v>42.92</v>
      </c>
      <c r="I20" s="221">
        <f>ROUND(44.09*Belarus*(1-C92),2)</f>
        <v>44.09</v>
      </c>
      <c r="J20" s="219">
        <f>ROUND(38.9*Belarus*(1-C92),2)</f>
        <v>38.9</v>
      </c>
      <c r="K20" s="221">
        <f>ROUND(41.83*Belarus*(1-C92),2)</f>
        <v>41.83</v>
      </c>
      <c r="M20" s="1618"/>
      <c r="N20" s="1332"/>
      <c r="O20" s="1281"/>
      <c r="P20" s="1281"/>
      <c r="Q20" s="1281"/>
      <c r="R20" s="282">
        <v>0.4</v>
      </c>
      <c r="S20" s="221">
        <f>ROUND(48.58*Belarus*(1-C92),2)</f>
        <v>48.58</v>
      </c>
      <c r="T20" s="223">
        <f>ROUND(46.87*Belarus*(1-C92),2)</f>
        <v>46.87</v>
      </c>
      <c r="U20" s="221">
        <f>ROUND(48.13*Belarus*(1-C92),2)</f>
        <v>48.13</v>
      </c>
      <c r="V20" s="219">
        <f>ROUND(42.46*Belarus*(1-C92),2)</f>
        <v>42.46</v>
      </c>
      <c r="W20" s="221">
        <f>ROUND(45.67*Belarus*(1-C92),2)</f>
        <v>45.67</v>
      </c>
    </row>
    <row r="21" spans="1:23" s="184" customFormat="1">
      <c r="A21" s="1618"/>
      <c r="B21" s="1332"/>
      <c r="C21" s="1281"/>
      <c r="D21" s="1281"/>
      <c r="E21" s="1281"/>
      <c r="F21" s="282">
        <v>0.45</v>
      </c>
      <c r="G21" s="221">
        <f>ROUND(47.99*Belarus*(1-C92),2)</f>
        <v>47.99</v>
      </c>
      <c r="H21" s="223">
        <f>ROUND(48.29*Belarus*(1-C92),2)</f>
        <v>48.29</v>
      </c>
      <c r="I21" s="221">
        <f>ROUND(46.45*Belarus*(1-C92),2)</f>
        <v>46.45</v>
      </c>
      <c r="J21" s="219">
        <f>ROUND(43.33*Belarus*(1-C92),2)</f>
        <v>43.33</v>
      </c>
      <c r="K21" s="221">
        <f>ROUND(45.5*Belarus*(1-C92),2)</f>
        <v>45.5</v>
      </c>
      <c r="M21" s="1618"/>
      <c r="N21" s="1332"/>
      <c r="O21" s="1281"/>
      <c r="P21" s="1281"/>
      <c r="Q21" s="1281"/>
      <c r="R21" s="282">
        <v>0.45</v>
      </c>
      <c r="S21" s="221">
        <f>ROUND(53.12*Belarus*(1-C92),2)</f>
        <v>53.12</v>
      </c>
      <c r="T21" s="223">
        <f>ROUND(52.72*Belarus*(1-C92),2)</f>
        <v>52.72</v>
      </c>
      <c r="U21" s="221">
        <f>ROUND(50.71*Belarus*(1-C92),2)</f>
        <v>50.71</v>
      </c>
      <c r="V21" s="219">
        <f>ROUND(47.31*Belarus*(1-C92),2)</f>
        <v>47.31</v>
      </c>
      <c r="W21" s="221">
        <f>ROUND(49.76*Belarus*(1-C92),2)</f>
        <v>49.76</v>
      </c>
    </row>
    <row r="22" spans="1:23" s="184" customFormat="1">
      <c r="A22" s="1618"/>
      <c r="B22" s="1332"/>
      <c r="C22" s="1281"/>
      <c r="D22" s="1281"/>
      <c r="E22" s="1281"/>
      <c r="F22" s="282">
        <v>0.5</v>
      </c>
      <c r="G22" s="221">
        <f>ROUND(53.58*Belarus*(1-C92),2)</f>
        <v>53.58</v>
      </c>
      <c r="H22" s="223">
        <f>ROUND(54.23*Belarus*(1-C92),2)</f>
        <v>54.23</v>
      </c>
      <c r="I22" s="221">
        <f>ROUND(50.1*Belarus*(1-C92),2)</f>
        <v>50.1</v>
      </c>
      <c r="J22" s="219">
        <f>ROUND(46.92*Belarus*(1-C92),2)</f>
        <v>46.92</v>
      </c>
      <c r="K22" s="221">
        <f>ROUND(48.88*Belarus*(1-C92),2)</f>
        <v>48.88</v>
      </c>
      <c r="M22" s="1618"/>
      <c r="N22" s="1332"/>
      <c r="O22" s="1281"/>
      <c r="P22" s="1281"/>
      <c r="Q22" s="1281"/>
      <c r="R22" s="282">
        <v>0.5</v>
      </c>
      <c r="S22" s="221">
        <f>ROUND(57.57*Belarus*(1-C92),2)</f>
        <v>57.57</v>
      </c>
      <c r="T22" s="223">
        <f>ROUND(59.21*Belarus*(1-C92),2)</f>
        <v>59.21</v>
      </c>
      <c r="U22" s="221">
        <f>ROUND(54.69*Belarus*(1-C92),2)</f>
        <v>54.69</v>
      </c>
      <c r="V22" s="219">
        <f>ROUND(51.23*Belarus*(1-C92),2)</f>
        <v>51.23</v>
      </c>
      <c r="W22" s="221">
        <f>ROUND(53.36*Belarus*(1-C92),2)</f>
        <v>53.36</v>
      </c>
    </row>
    <row r="23" spans="1:23" s="184" customFormat="1">
      <c r="A23" s="1618"/>
      <c r="B23" s="1332"/>
      <c r="C23" s="1281"/>
      <c r="D23" s="1281"/>
      <c r="E23" s="1281"/>
      <c r="F23" s="282">
        <v>0.55000000000000004</v>
      </c>
      <c r="G23" s="221">
        <f>ROUND(57.07*Belarus*(1-C92),2)</f>
        <v>57.07</v>
      </c>
      <c r="H23" s="223">
        <f>ROUND(58.32*Belarus*(1-C92),2)</f>
        <v>58.32</v>
      </c>
      <c r="I23" s="221">
        <f>ROUND(56.74*Belarus*(1-C92),2)</f>
        <v>56.74</v>
      </c>
      <c r="J23" s="219" t="s">
        <v>369</v>
      </c>
      <c r="K23" s="221">
        <f>ROUND(56.93*Belarus*(1-C92),2)</f>
        <v>56.93</v>
      </c>
      <c r="M23" s="1618"/>
      <c r="N23" s="1332"/>
      <c r="O23" s="1281"/>
      <c r="P23" s="1281"/>
      <c r="Q23" s="1281"/>
      <c r="R23" s="282">
        <v>0.55000000000000004</v>
      </c>
      <c r="S23" s="221">
        <f>ROUND(62.3*Belarus*(1-C92),2)</f>
        <v>62.3</v>
      </c>
      <c r="T23" s="223">
        <f>ROUND(62.64*Belarus*(1-C92),2)</f>
        <v>62.64</v>
      </c>
      <c r="U23" s="221">
        <f>ROUND(61.95*Belarus*(1-C92),2)</f>
        <v>61.95</v>
      </c>
      <c r="V23" s="219" t="s">
        <v>369</v>
      </c>
      <c r="W23" s="221">
        <f>ROUND(62.5*Belarus*(1-C92),2)</f>
        <v>62.5</v>
      </c>
    </row>
    <row r="24" spans="1:23" s="184" customFormat="1" ht="13.5" thickBot="1">
      <c r="A24" s="2543"/>
      <c r="B24" s="2544"/>
      <c r="C24" s="2545"/>
      <c r="D24" s="2545"/>
      <c r="E24" s="2545"/>
      <c r="F24" s="861">
        <v>0.6</v>
      </c>
      <c r="G24" s="1115">
        <f>ROUND(60.16*Belarus*(1-C92),2)</f>
        <v>60.16</v>
      </c>
      <c r="H24" s="1108">
        <f>ROUND(61.85*Belarus*(1-C92),2)</f>
        <v>61.85</v>
      </c>
      <c r="I24" s="1115">
        <f>ROUND(61.81*Belarus*(1-C92),2)</f>
        <v>61.81</v>
      </c>
      <c r="J24" s="1191">
        <f>ROUND(59.18*Belarus*(1-C92),2)</f>
        <v>59.18</v>
      </c>
      <c r="K24" s="1115">
        <f>ROUND(62.97*Belarus*(1-C92),2)</f>
        <v>62.97</v>
      </c>
      <c r="M24" s="1907"/>
      <c r="N24" s="1995"/>
      <c r="O24" s="1891"/>
      <c r="P24" s="1891"/>
      <c r="Q24" s="1891"/>
      <c r="R24" s="857">
        <v>0.6</v>
      </c>
      <c r="S24" s="1185">
        <f>ROUND(68.05*Belarus*(1-C92),2)</f>
        <v>68.05</v>
      </c>
      <c r="T24" s="1183">
        <f>ROUND(68*Belarus*(1-C92),2)</f>
        <v>68</v>
      </c>
      <c r="U24" s="1185">
        <f>ROUND(67.49*Belarus*(1-C92),2)</f>
        <v>67.489999999999995</v>
      </c>
      <c r="V24" s="1189">
        <f>ROUND(64.6*Belarus*(1-C92),2)</f>
        <v>64.599999999999994</v>
      </c>
      <c r="W24" s="1185">
        <f>ROUND(68.74*Belarus*(1-C92),2)</f>
        <v>68.739999999999995</v>
      </c>
    </row>
    <row r="25" spans="1:23" s="184" customFormat="1" ht="13.5" thickTop="1">
      <c r="A25" s="1909"/>
      <c r="B25" s="2001" t="s">
        <v>3800</v>
      </c>
      <c r="C25" s="1893">
        <v>1080</v>
      </c>
      <c r="D25" s="1893">
        <v>54</v>
      </c>
      <c r="E25" s="1893" t="s">
        <v>631</v>
      </c>
      <c r="F25" s="858">
        <v>0.35</v>
      </c>
      <c r="G25" s="1055">
        <f>ROUND(32.52*Belarus*(1-C92),2)</f>
        <v>32.520000000000003</v>
      </c>
      <c r="H25" s="1184">
        <f>ROUND(31.13*Belarus*(1-C92),2)</f>
        <v>31.13</v>
      </c>
      <c r="I25" s="1055">
        <f>ROUND(30.32*Belarus*(1-C92),2)</f>
        <v>30.32</v>
      </c>
      <c r="J25" s="1192">
        <f>ROUND(27.68*Belarus*(1-C92),2)</f>
        <v>27.68</v>
      </c>
      <c r="K25" s="1055">
        <f>ROUND(28.83*Belarus*(1-C92),2)</f>
        <v>28.83</v>
      </c>
      <c r="M25" s="2540"/>
      <c r="N25" s="2541" t="s">
        <v>4200</v>
      </c>
      <c r="O25" s="2542">
        <v>1890</v>
      </c>
      <c r="P25" s="2542">
        <v>54</v>
      </c>
      <c r="Q25" s="2542" t="s">
        <v>631</v>
      </c>
      <c r="R25" s="860">
        <v>0.35</v>
      </c>
      <c r="S25" s="1114">
        <f>ROUND(30.54*Belarus*(1-C92),2)</f>
        <v>30.54</v>
      </c>
      <c r="T25" s="1107">
        <f>ROUND(25.88*Belarus*(1-C92),2)</f>
        <v>25.88</v>
      </c>
      <c r="U25" s="1114">
        <f>ROUND(25.02*Belarus*(1-C92),2)</f>
        <v>25.02</v>
      </c>
      <c r="V25" s="1190" t="s">
        <v>369</v>
      </c>
      <c r="W25" s="1119" t="s">
        <v>369</v>
      </c>
    </row>
    <row r="26" spans="1:23" s="184" customFormat="1">
      <c r="A26" s="1618"/>
      <c r="B26" s="1332"/>
      <c r="C26" s="1281"/>
      <c r="D26" s="1281"/>
      <c r="E26" s="1281"/>
      <c r="F26" s="282">
        <v>0.4</v>
      </c>
      <c r="G26" s="221">
        <f>ROUND(35.21*Belarus*(1-C92),2)</f>
        <v>35.21</v>
      </c>
      <c r="H26" s="223">
        <f>ROUND(32.94*Belarus*(1-C92),2)</f>
        <v>32.94</v>
      </c>
      <c r="I26" s="221">
        <f>ROUND(33.82*Belarus*(1-C92),2)</f>
        <v>33.82</v>
      </c>
      <c r="J26" s="219">
        <f>ROUND(29.96*Belarus*(1-C92),2)</f>
        <v>29.96</v>
      </c>
      <c r="K26" s="221">
        <f>ROUND(32.23*Belarus*(1-C92),2)</f>
        <v>32.229999999999997</v>
      </c>
      <c r="M26" s="1618"/>
      <c r="N26" s="1332"/>
      <c r="O26" s="1281"/>
      <c r="P26" s="1281"/>
      <c r="Q26" s="1281"/>
      <c r="R26" s="282">
        <v>0.4</v>
      </c>
      <c r="S26" s="221">
        <f>ROUND(32.31*Belarus*(1-C92),2)</f>
        <v>32.31</v>
      </c>
      <c r="T26" s="223">
        <f>ROUND(28.31*Belarus*(1-C92),2)</f>
        <v>28.31</v>
      </c>
      <c r="U26" s="221">
        <f>ROUND(27.89*Belarus*(1-C92),2)</f>
        <v>27.89</v>
      </c>
      <c r="V26" s="219">
        <f>ROUND(24.4*Belarus*(1-C92),2)</f>
        <v>24.4</v>
      </c>
      <c r="W26" s="107" t="s">
        <v>369</v>
      </c>
    </row>
    <row r="27" spans="1:23" s="184" customFormat="1">
      <c r="A27" s="1618"/>
      <c r="B27" s="1332"/>
      <c r="C27" s="1281"/>
      <c r="D27" s="1281"/>
      <c r="E27" s="1281"/>
      <c r="F27" s="282">
        <v>0.45</v>
      </c>
      <c r="G27" s="221">
        <f>ROUND(37.44*Belarus*(1-C92),2)</f>
        <v>37.44</v>
      </c>
      <c r="H27" s="223">
        <f>ROUND(37.06*Belarus*(1-C92),2)</f>
        <v>37.06</v>
      </c>
      <c r="I27" s="221">
        <f>ROUND(35.63*Belarus*(1-C92),2)</f>
        <v>35.630000000000003</v>
      </c>
      <c r="J27" s="219">
        <f>ROUND(33.39*Belarus*(1-C92),2)</f>
        <v>33.39</v>
      </c>
      <c r="K27" s="221">
        <f>ROUND(35.1*Belarus*(1-C92),2)</f>
        <v>35.1</v>
      </c>
      <c r="M27" s="1618"/>
      <c r="N27" s="1332"/>
      <c r="O27" s="1281"/>
      <c r="P27" s="1281"/>
      <c r="Q27" s="1281"/>
      <c r="R27" s="282">
        <v>0.45</v>
      </c>
      <c r="S27" s="221">
        <f>ROUND(34.43*Belarus*(1-C92),2)</f>
        <v>34.43</v>
      </c>
      <c r="T27" s="223">
        <f>ROUND(31.84*Belarus*(1-C92),2)</f>
        <v>31.84</v>
      </c>
      <c r="U27" s="221">
        <f>ROUND(29.4*Belarus*(1-C92),2)</f>
        <v>29.4</v>
      </c>
      <c r="V27" s="219">
        <f>ROUND(27.19*Belarus*(1-C92),2)</f>
        <v>27.19</v>
      </c>
      <c r="W27" s="107" t="s">
        <v>369</v>
      </c>
    </row>
    <row r="28" spans="1:23" s="184" customFormat="1">
      <c r="A28" s="1618"/>
      <c r="B28" s="1332"/>
      <c r="C28" s="1281"/>
      <c r="D28" s="1281"/>
      <c r="E28" s="1281"/>
      <c r="F28" s="282">
        <v>0.5</v>
      </c>
      <c r="G28" s="221">
        <f>ROUND(39.47*Belarus*(1-C92),2)</f>
        <v>39.47</v>
      </c>
      <c r="H28" s="223">
        <f>ROUND(41.61*Belarus*(1-C92),2)</f>
        <v>41.61</v>
      </c>
      <c r="I28" s="221">
        <f>ROUND(38.43*Belarus*(1-C92),2)</f>
        <v>38.43</v>
      </c>
      <c r="J28" s="219">
        <f>ROUND(36.15*Belarus*(1-C92),2)</f>
        <v>36.15</v>
      </c>
      <c r="K28" s="221">
        <f>ROUND(37.65*Belarus*(1-C92),2)</f>
        <v>37.65</v>
      </c>
      <c r="M28" s="1618"/>
      <c r="N28" s="1332"/>
      <c r="O28" s="1281"/>
      <c r="P28" s="1281"/>
      <c r="Q28" s="1281"/>
      <c r="R28" s="282">
        <v>0.5</v>
      </c>
      <c r="S28" s="221">
        <f>ROUND(38.36*Belarus*(1-C92),2)</f>
        <v>38.36</v>
      </c>
      <c r="T28" s="223">
        <f>ROUND(35.75*Belarus*(1-C92),2)</f>
        <v>35.75</v>
      </c>
      <c r="U28" s="221" t="s">
        <v>3624</v>
      </c>
      <c r="V28" s="219">
        <f>ROUND(28.92*Belarus*(1-E92),2)</f>
        <v>28.92</v>
      </c>
      <c r="W28" s="107" t="s">
        <v>369</v>
      </c>
    </row>
    <row r="29" spans="1:23" s="184" customFormat="1">
      <c r="A29" s="1618"/>
      <c r="B29" s="1332"/>
      <c r="C29" s="1281"/>
      <c r="D29" s="1281"/>
      <c r="E29" s="1281"/>
      <c r="F29" s="282">
        <v>0.55000000000000004</v>
      </c>
      <c r="G29" s="221">
        <f>ROUND(42.67*Belarus*(1-C92),2)</f>
        <v>42.67</v>
      </c>
      <c r="H29" s="223">
        <f>ROUND(43.97*Belarus*(1-C92),2)</f>
        <v>43.97</v>
      </c>
      <c r="I29" s="221">
        <f>ROUND(43.54*Belarus*(1-C92),2)</f>
        <v>43.54</v>
      </c>
      <c r="J29" s="219" t="s">
        <v>369</v>
      </c>
      <c r="K29" s="221">
        <f>ROUND(44.11*Belarus*(1-C92),2)</f>
        <v>44.11</v>
      </c>
      <c r="M29" s="1618"/>
      <c r="N29" s="1332"/>
      <c r="O29" s="1281"/>
      <c r="P29" s="1281"/>
      <c r="Q29" s="1281"/>
      <c r="R29" s="282">
        <v>0.55000000000000004</v>
      </c>
      <c r="S29" s="221">
        <f>ROUND(39.37*Belarus*(1-C92),2)</f>
        <v>39.369999999999997</v>
      </c>
      <c r="T29" s="223">
        <f>ROUND(39.66*Belarus*(1-C92),2)</f>
        <v>39.659999999999997</v>
      </c>
      <c r="U29" s="221" t="s">
        <v>3624</v>
      </c>
      <c r="V29" s="520" t="s">
        <v>369</v>
      </c>
      <c r="W29" s="107" t="s">
        <v>369</v>
      </c>
    </row>
    <row r="30" spans="1:23" s="184" customFormat="1" ht="13.5" thickBot="1">
      <c r="A30" s="1907"/>
      <c r="B30" s="1995"/>
      <c r="C30" s="1891"/>
      <c r="D30" s="1891"/>
      <c r="E30" s="1891"/>
      <c r="F30" s="857">
        <v>0.6</v>
      </c>
      <c r="G30" s="1185">
        <f>ROUND(48.72*Belarus*(1-C92),2)</f>
        <v>48.72</v>
      </c>
      <c r="H30" s="1183">
        <f>ROUND(48.72*Belarus*(1-C92),2)</f>
        <v>48.72</v>
      </c>
      <c r="I30" s="1185">
        <f>ROUND(47.42*Belarus*(1-C92),2)</f>
        <v>47.42</v>
      </c>
      <c r="J30" s="1189">
        <f>ROUND(45.6*Belarus*(1-C92),2)</f>
        <v>45.6</v>
      </c>
      <c r="K30" s="1185">
        <f>ROUND(48.52*Belarus*(1-C92),2)</f>
        <v>48.52</v>
      </c>
      <c r="M30" s="2543"/>
      <c r="N30" s="2544"/>
      <c r="O30" s="2545"/>
      <c r="P30" s="2545"/>
      <c r="Q30" s="2545"/>
      <c r="R30" s="861">
        <v>0.6</v>
      </c>
      <c r="S30" s="1115">
        <f>ROUND(45.47*Belarus*(1-C92),2)</f>
        <v>45.47</v>
      </c>
      <c r="T30" s="1108">
        <f>ROUND(42.82*Belarus*(1-C92),2)</f>
        <v>42.82</v>
      </c>
      <c r="U30" s="1115" t="s">
        <v>3624</v>
      </c>
      <c r="V30" s="1108" t="s">
        <v>369</v>
      </c>
      <c r="W30" s="1120" t="s">
        <v>369</v>
      </c>
    </row>
    <row r="31" spans="1:23" s="184" customFormat="1" ht="13.5" thickTop="1">
      <c r="A31" s="2540"/>
      <c r="B31" s="2541" t="s">
        <v>3801</v>
      </c>
      <c r="C31" s="2542">
        <v>720</v>
      </c>
      <c r="D31" s="2542">
        <v>36</v>
      </c>
      <c r="E31" s="2542" t="s">
        <v>631</v>
      </c>
      <c r="F31" s="860">
        <v>0.35</v>
      </c>
      <c r="G31" s="1114">
        <f>ROUND(47.67*Belarus*(1-C92),2)</f>
        <v>47.67</v>
      </c>
      <c r="H31" s="1107">
        <f>ROUND(45.69*Belarus*(1-C92),2)</f>
        <v>45.69</v>
      </c>
      <c r="I31" s="1114">
        <f>ROUND(45.99*Belarus*(1-C92),2)</f>
        <v>45.99</v>
      </c>
      <c r="J31" s="1190">
        <f>ROUND(41.82*Belarus*(1-C92),2)</f>
        <v>41.82</v>
      </c>
      <c r="K31" s="1114">
        <f>ROUND(43.56*Belarus*(1-C92),2)</f>
        <v>43.56</v>
      </c>
      <c r="M31" s="1909"/>
      <c r="N31" s="2001" t="s">
        <v>3802</v>
      </c>
      <c r="O31" s="1893">
        <v>2100</v>
      </c>
      <c r="P31" s="1893">
        <v>60</v>
      </c>
      <c r="Q31" s="1893" t="s">
        <v>631</v>
      </c>
      <c r="R31" s="858">
        <v>0.35</v>
      </c>
      <c r="S31" s="1055">
        <f>ROUND(18.6*Belarus*(1-C92),2)</f>
        <v>18.600000000000001</v>
      </c>
      <c r="T31" s="1184">
        <f>ROUND(14.56*Belarus*(1-C92),2)</f>
        <v>14.56</v>
      </c>
      <c r="U31" s="1055">
        <f>ROUND(14.05*Belarus*(1-C92),2)</f>
        <v>14.05</v>
      </c>
      <c r="V31" s="1184" t="s">
        <v>369</v>
      </c>
      <c r="W31" s="1121" t="s">
        <v>369</v>
      </c>
    </row>
    <row r="32" spans="1:23" s="184" customFormat="1">
      <c r="A32" s="1618"/>
      <c r="B32" s="1332"/>
      <c r="C32" s="1281"/>
      <c r="D32" s="1281"/>
      <c r="E32" s="1281"/>
      <c r="F32" s="282">
        <v>0.4</v>
      </c>
      <c r="G32" s="221">
        <f>ROUND(53.42*Belarus*(1-C92),2)</f>
        <v>53.42</v>
      </c>
      <c r="H32" s="223">
        <f>ROUND(49.97*Belarus*(1-C92),2)</f>
        <v>49.97</v>
      </c>
      <c r="I32" s="221">
        <f>ROUND(51.31*Belarus*(1-C92),2)</f>
        <v>51.31</v>
      </c>
      <c r="J32" s="219">
        <f>ROUND(45.26*Belarus*(1-C92),2)</f>
        <v>45.26</v>
      </c>
      <c r="K32" s="221">
        <f>ROUND(48.69*Belarus*(1-C92),2)</f>
        <v>48.69</v>
      </c>
      <c r="M32" s="1618"/>
      <c r="N32" s="1332"/>
      <c r="O32" s="1281"/>
      <c r="P32" s="1281"/>
      <c r="Q32" s="1281"/>
      <c r="R32" s="282">
        <v>0.4</v>
      </c>
      <c r="S32" s="221">
        <f>ROUND(19.19*Belarus*(1-C92),2)</f>
        <v>19.190000000000001</v>
      </c>
      <c r="T32" s="223">
        <f>ROUND(15.91*Belarus*(1-C92),2)</f>
        <v>15.91</v>
      </c>
      <c r="U32" s="221">
        <f>ROUND(15.69*Belarus*(1-C92),2)</f>
        <v>15.69</v>
      </c>
      <c r="V32" s="223">
        <f>ROUND(13.5*Belarus*(1-C92),2)</f>
        <v>13.5</v>
      </c>
      <c r="W32" s="107" t="s">
        <v>369</v>
      </c>
    </row>
    <row r="33" spans="1:23" s="184" customFormat="1">
      <c r="A33" s="1618"/>
      <c r="B33" s="1332"/>
      <c r="C33" s="1281"/>
      <c r="D33" s="1281"/>
      <c r="E33" s="1281"/>
      <c r="F33" s="282">
        <v>0.45</v>
      </c>
      <c r="G33" s="221">
        <f>ROUND(55.86*Belarus*(1-C92),2)</f>
        <v>55.86</v>
      </c>
      <c r="H33" s="223">
        <f>ROUND(56.22*Belarus*(1-C92),2)</f>
        <v>56.22</v>
      </c>
      <c r="I33" s="221">
        <f>ROUND(54.05*Belarus*(1-C92),2)</f>
        <v>54.05</v>
      </c>
      <c r="J33" s="219">
        <f>ROUND(50.43*Belarus*(1-C92),2)</f>
        <v>50.43</v>
      </c>
      <c r="K33" s="221">
        <f>ROUND(53.05*Belarus*(1-C92),2)</f>
        <v>53.05</v>
      </c>
      <c r="M33" s="1618"/>
      <c r="N33" s="1332"/>
      <c r="O33" s="1281"/>
      <c r="P33" s="1281"/>
      <c r="Q33" s="1281"/>
      <c r="R33" s="282">
        <v>0.45</v>
      </c>
      <c r="S33" s="221">
        <f>ROUND(21.02*Belarus*(1-C92),2)</f>
        <v>21.02</v>
      </c>
      <c r="T33" s="223">
        <f>ROUND(17.89*Belarus*(1-C92),2)</f>
        <v>17.89</v>
      </c>
      <c r="U33" s="221">
        <f>ROUND(16.53*Belarus*(1-C92),2)</f>
        <v>16.53</v>
      </c>
      <c r="V33" s="223">
        <f>ROUND(15.05*Belarus*(1-C92),2)</f>
        <v>15.05</v>
      </c>
      <c r="W33" s="107" t="s">
        <v>369</v>
      </c>
    </row>
    <row r="34" spans="1:23" s="184" customFormat="1">
      <c r="A34" s="1618"/>
      <c r="B34" s="1332"/>
      <c r="C34" s="1281"/>
      <c r="D34" s="1281"/>
      <c r="E34" s="1281"/>
      <c r="F34" s="282">
        <v>0.5</v>
      </c>
      <c r="G34" s="221">
        <f>ROUND(61.36*Belarus*(1-C92),2)</f>
        <v>61.36</v>
      </c>
      <c r="H34" s="223">
        <f>ROUND(63.11*Belarus*(1-C92),2)</f>
        <v>63.11</v>
      </c>
      <c r="I34" s="221">
        <f>ROUND(58.31*Belarus*(1-C92),2)</f>
        <v>58.31</v>
      </c>
      <c r="J34" s="219">
        <f>ROUND(54.62*Belarus*(1-C92),2)</f>
        <v>54.62</v>
      </c>
      <c r="K34" s="221">
        <f>ROUND(56.9*Belarus*(1-C92),2)</f>
        <v>56.9</v>
      </c>
      <c r="M34" s="1618"/>
      <c r="N34" s="1332"/>
      <c r="O34" s="1281"/>
      <c r="P34" s="1281"/>
      <c r="Q34" s="1281"/>
      <c r="R34" s="282">
        <v>0.5</v>
      </c>
      <c r="S34" s="221">
        <f>ROUND(22.01*Belarus*(1-C92),2)</f>
        <v>22.01</v>
      </c>
      <c r="T34" s="223">
        <f>ROUND(20.11*Belarus*(1-C92),2)</f>
        <v>20.11</v>
      </c>
      <c r="U34" s="221" t="s">
        <v>3624</v>
      </c>
      <c r="V34" s="223">
        <f>ROUND(16*Belarus*(1-C92),2)</f>
        <v>16</v>
      </c>
      <c r="W34" s="107" t="s">
        <v>369</v>
      </c>
    </row>
    <row r="35" spans="1:23" s="184" customFormat="1">
      <c r="A35" s="1618"/>
      <c r="B35" s="1332"/>
      <c r="C35" s="1281"/>
      <c r="D35" s="1281"/>
      <c r="E35" s="1281"/>
      <c r="F35" s="282">
        <v>0.55000000000000004</v>
      </c>
      <c r="G35" s="221">
        <f>ROUND(66.43*Belarus*(1-C92),2)</f>
        <v>66.430000000000007</v>
      </c>
      <c r="H35" s="223">
        <f>ROUND(66.72*Belarus*(1-C92),2)</f>
        <v>66.72</v>
      </c>
      <c r="I35" s="221">
        <f>ROUND(66.04*Belarus*(1-C92),2)</f>
        <v>66.040000000000006</v>
      </c>
      <c r="J35" s="223" t="s">
        <v>369</v>
      </c>
      <c r="K35" s="221">
        <f>ROUND(66.63*Belarus*(1-C92),2)</f>
        <v>66.63</v>
      </c>
      <c r="M35" s="1618"/>
      <c r="N35" s="1332"/>
      <c r="O35" s="1281"/>
      <c r="P35" s="1281"/>
      <c r="Q35" s="1281"/>
      <c r="R35" s="282">
        <v>0.55000000000000004</v>
      </c>
      <c r="S35" s="221">
        <f>ROUND(23.85*Belarus*(1-C92),2)</f>
        <v>23.85</v>
      </c>
      <c r="T35" s="223">
        <f>ROUND(22.29*Belarus*(1-C92),2)</f>
        <v>22.29</v>
      </c>
      <c r="U35" s="221" t="s">
        <v>3624</v>
      </c>
      <c r="V35" s="223" t="s">
        <v>369</v>
      </c>
      <c r="W35" s="107" t="s">
        <v>369</v>
      </c>
    </row>
    <row r="36" spans="1:23" s="184" customFormat="1">
      <c r="A36" s="1618"/>
      <c r="B36" s="1332"/>
      <c r="C36" s="1281"/>
      <c r="D36" s="1281"/>
      <c r="E36" s="1281"/>
      <c r="F36" s="282">
        <v>0.6</v>
      </c>
      <c r="G36" s="221">
        <f>ROUND(70.03*Belarus*(1-C92),2)</f>
        <v>70.03</v>
      </c>
      <c r="H36" s="223">
        <f>ROUND(72.67*Belarus*(1-C92),2)</f>
        <v>72.67</v>
      </c>
      <c r="I36" s="221">
        <f>ROUND(71.95*Belarus*(1-C92),2)</f>
        <v>71.95</v>
      </c>
      <c r="J36" s="223">
        <f>ROUND(68.88*Belarus*(1-C92),2)</f>
        <v>68.88</v>
      </c>
      <c r="K36" s="221">
        <f>ROUND(73.9*Belarus*(1-C92),2)</f>
        <v>73.900000000000006</v>
      </c>
      <c r="M36" s="1618"/>
      <c r="N36" s="1332"/>
      <c r="O36" s="1281"/>
      <c r="P36" s="1281"/>
      <c r="Q36" s="1281"/>
      <c r="R36" s="282">
        <v>0.6</v>
      </c>
      <c r="S36" s="221">
        <f>ROUND(27.8*Belarus*(1-C92),2)</f>
        <v>27.8</v>
      </c>
      <c r="T36" s="223">
        <f>ROUND(24.09*Belarus*(1-C92),2)</f>
        <v>24.09</v>
      </c>
      <c r="U36" s="221" t="s">
        <v>3624</v>
      </c>
      <c r="V36" s="223" t="s">
        <v>369</v>
      </c>
      <c r="W36" s="107" t="s">
        <v>369</v>
      </c>
    </row>
    <row r="37" spans="1:23" s="184" customFormat="1">
      <c r="A37" s="191"/>
      <c r="W37" s="191"/>
    </row>
    <row r="38" spans="1:23" s="184" customFormat="1" ht="12.75" customHeight="1">
      <c r="A38" s="1491" t="s">
        <v>307</v>
      </c>
      <c r="B38" s="1491"/>
      <c r="C38" s="1491"/>
      <c r="D38" s="1502" t="s">
        <v>4201</v>
      </c>
      <c r="E38" s="1388" t="s">
        <v>622</v>
      </c>
      <c r="F38" s="1495" t="s">
        <v>2986</v>
      </c>
      <c r="G38" s="1491" t="s">
        <v>3656</v>
      </c>
      <c r="H38" s="1491"/>
      <c r="I38" s="1491"/>
      <c r="J38" s="1491"/>
      <c r="K38" s="1491"/>
      <c r="M38" s="1491" t="s">
        <v>307</v>
      </c>
      <c r="N38" s="1491"/>
      <c r="O38" s="1491"/>
      <c r="P38" s="1502" t="s">
        <v>4201</v>
      </c>
      <c r="Q38" s="1388" t="s">
        <v>622</v>
      </c>
      <c r="R38" s="1495" t="s">
        <v>2986</v>
      </c>
      <c r="S38" s="1491" t="s">
        <v>3656</v>
      </c>
      <c r="T38" s="1491"/>
      <c r="U38" s="1491"/>
      <c r="V38" s="1491"/>
      <c r="W38" s="1491"/>
    </row>
    <row r="39" spans="1:23" s="184" customFormat="1">
      <c r="A39" s="1491"/>
      <c r="B39" s="1491"/>
      <c r="C39" s="1491"/>
      <c r="D39" s="2546"/>
      <c r="E39" s="1388"/>
      <c r="F39" s="1470"/>
      <c r="G39" s="1388" t="s">
        <v>3546</v>
      </c>
      <c r="H39" s="1388" t="s">
        <v>3605</v>
      </c>
      <c r="I39" s="1388" t="s">
        <v>3606</v>
      </c>
      <c r="J39" s="1388" t="s">
        <v>3607</v>
      </c>
      <c r="K39" s="1388" t="s">
        <v>3608</v>
      </c>
      <c r="M39" s="1491"/>
      <c r="N39" s="1491"/>
      <c r="O39" s="1491"/>
      <c r="P39" s="2546"/>
      <c r="Q39" s="1388"/>
      <c r="R39" s="1470"/>
      <c r="S39" s="1388" t="s">
        <v>3546</v>
      </c>
      <c r="T39" s="1388" t="s">
        <v>3605</v>
      </c>
      <c r="U39" s="1388" t="s">
        <v>3606</v>
      </c>
      <c r="V39" s="1388" t="s">
        <v>3607</v>
      </c>
      <c r="W39" s="1388" t="s">
        <v>3608</v>
      </c>
    </row>
    <row r="40" spans="1:23" s="184" customFormat="1" ht="16.5" customHeight="1">
      <c r="A40" s="1491"/>
      <c r="B40" s="1491"/>
      <c r="C40" s="1491"/>
      <c r="D40" s="1504"/>
      <c r="E40" s="1388"/>
      <c r="F40" s="1496"/>
      <c r="G40" s="1388"/>
      <c r="H40" s="1388"/>
      <c r="I40" s="1388"/>
      <c r="J40" s="1388"/>
      <c r="K40" s="1388"/>
      <c r="M40" s="1491"/>
      <c r="N40" s="1491"/>
      <c r="O40" s="1491"/>
      <c r="P40" s="1504"/>
      <c r="Q40" s="1388"/>
      <c r="R40" s="1496"/>
      <c r="S40" s="1388"/>
      <c r="T40" s="1388"/>
      <c r="U40" s="1388"/>
      <c r="V40" s="1388"/>
      <c r="W40" s="1388"/>
    </row>
    <row r="41" spans="1:23" s="184" customFormat="1">
      <c r="A41" s="1462" t="s">
        <v>4202</v>
      </c>
      <c r="B41" s="1463"/>
      <c r="C41" s="1463"/>
      <c r="D41" s="1463"/>
      <c r="E41" s="1463"/>
      <c r="F41" s="1463"/>
      <c r="G41" s="1463"/>
      <c r="H41" s="1463"/>
      <c r="I41" s="1463"/>
      <c r="J41" s="1463"/>
      <c r="K41" s="1464"/>
      <c r="M41" s="1462" t="s">
        <v>4203</v>
      </c>
      <c r="N41" s="1463"/>
      <c r="O41" s="1463"/>
      <c r="P41" s="1463"/>
      <c r="Q41" s="1463"/>
      <c r="R41" s="1463"/>
      <c r="S41" s="1463"/>
      <c r="T41" s="1463"/>
      <c r="U41" s="1463"/>
      <c r="V41" s="1463"/>
      <c r="W41" s="1464"/>
    </row>
    <row r="42" spans="1:23" s="184" customFormat="1" ht="12.75" customHeight="1">
      <c r="A42" s="1418" t="s">
        <v>3803</v>
      </c>
      <c r="B42" s="1419"/>
      <c r="C42" s="1420"/>
      <c r="D42" s="1766">
        <v>100</v>
      </c>
      <c r="E42" s="1766" t="s">
        <v>640</v>
      </c>
      <c r="F42" s="282">
        <v>0.4</v>
      </c>
      <c r="G42" s="1182" t="s">
        <v>369</v>
      </c>
      <c r="H42" s="856" t="s">
        <v>369</v>
      </c>
      <c r="I42" s="1182" t="s">
        <v>369</v>
      </c>
      <c r="J42" s="856" t="s">
        <v>369</v>
      </c>
      <c r="K42" s="1182" t="s">
        <v>369</v>
      </c>
      <c r="M42" s="1351" t="s">
        <v>3804</v>
      </c>
      <c r="N42" s="1351"/>
      <c r="O42" s="1351"/>
      <c r="P42" s="1386">
        <v>60</v>
      </c>
      <c r="Q42" s="1386" t="s">
        <v>640</v>
      </c>
      <c r="R42" s="856">
        <v>0.45</v>
      </c>
      <c r="S42" s="1122" t="s">
        <v>369</v>
      </c>
      <c r="T42" s="856" t="s">
        <v>369</v>
      </c>
      <c r="U42" s="1182" t="s">
        <v>3624</v>
      </c>
      <c r="V42" s="856" t="s">
        <v>369</v>
      </c>
      <c r="W42" s="221" t="s">
        <v>369</v>
      </c>
    </row>
    <row r="43" spans="1:23" s="184" customFormat="1">
      <c r="A43" s="1421"/>
      <c r="B43" s="1422"/>
      <c r="C43" s="1423"/>
      <c r="D43" s="1442"/>
      <c r="E43" s="1442"/>
      <c r="F43" s="282">
        <v>0.45</v>
      </c>
      <c r="G43" s="1182" t="s">
        <v>369</v>
      </c>
      <c r="H43" s="856" t="s">
        <v>3624</v>
      </c>
      <c r="I43" s="1182" t="s">
        <v>3624</v>
      </c>
      <c r="J43" s="856" t="s">
        <v>369</v>
      </c>
      <c r="K43" s="1182" t="s">
        <v>369</v>
      </c>
      <c r="M43" s="1351"/>
      <c r="N43" s="1351"/>
      <c r="O43" s="1351"/>
      <c r="P43" s="1386"/>
      <c r="Q43" s="1386"/>
      <c r="R43" s="856">
        <v>0.5</v>
      </c>
      <c r="S43" s="1182" t="s">
        <v>369</v>
      </c>
      <c r="T43" s="1106" t="s">
        <v>369</v>
      </c>
      <c r="U43" s="1182" t="s">
        <v>3624</v>
      </c>
      <c r="V43" s="219" t="s">
        <v>369</v>
      </c>
      <c r="W43" s="221" t="s">
        <v>369</v>
      </c>
    </row>
    <row r="44" spans="1:23" s="184" customFormat="1" ht="12.75" customHeight="1">
      <c r="A44" s="1421"/>
      <c r="B44" s="1422"/>
      <c r="C44" s="1423"/>
      <c r="D44" s="1442"/>
      <c r="E44" s="1442"/>
      <c r="F44" s="282">
        <v>0.5</v>
      </c>
      <c r="G44" s="1182" t="s">
        <v>369</v>
      </c>
      <c r="H44" s="1106" t="s">
        <v>3624</v>
      </c>
      <c r="I44" s="1182" t="s">
        <v>3624</v>
      </c>
      <c r="J44" s="856" t="s">
        <v>369</v>
      </c>
      <c r="K44" s="1182" t="s">
        <v>369</v>
      </c>
      <c r="M44" s="1351"/>
      <c r="N44" s="1351"/>
      <c r="O44" s="1351"/>
      <c r="P44" s="1386"/>
      <c r="Q44" s="1386"/>
      <c r="R44" s="856">
        <v>0.55000000000000004</v>
      </c>
      <c r="S44" s="1182" t="s">
        <v>369</v>
      </c>
      <c r="T44" s="223">
        <f>ROUND(8.56*Belarus*(1-C92),2)</f>
        <v>8.56</v>
      </c>
      <c r="U44" s="221">
        <f>ROUND(8.28*Belarus*(1-C92),2)</f>
        <v>8.2799999999999994</v>
      </c>
      <c r="V44" s="856" t="s">
        <v>369</v>
      </c>
      <c r="W44" s="221" t="s">
        <v>369</v>
      </c>
    </row>
    <row r="45" spans="1:23" s="184" customFormat="1">
      <c r="A45" s="1421"/>
      <c r="B45" s="1422"/>
      <c r="C45" s="1423"/>
      <c r="D45" s="1442"/>
      <c r="E45" s="1442"/>
      <c r="F45" s="282">
        <v>0.55000000000000004</v>
      </c>
      <c r="G45" s="1182" t="s">
        <v>369</v>
      </c>
      <c r="H45" s="223">
        <f>ROUND(2.33*Belarus*(1-C92),2)</f>
        <v>2.33</v>
      </c>
      <c r="I45" s="1182" t="s">
        <v>3624</v>
      </c>
      <c r="J45" s="856" t="s">
        <v>369</v>
      </c>
      <c r="K45" s="1182" t="s">
        <v>369</v>
      </c>
      <c r="M45" s="1351"/>
      <c r="N45" s="1351"/>
      <c r="O45" s="1351"/>
      <c r="P45" s="1386"/>
      <c r="Q45" s="1386"/>
      <c r="R45" s="856">
        <v>0.6</v>
      </c>
      <c r="S45" s="221">
        <f>ROUND(11.51*Belarus*(1-C92),2)</f>
        <v>11.51</v>
      </c>
      <c r="T45" s="223">
        <f>ROUND(9.23*Belarus*(1-C92),2)</f>
        <v>9.23</v>
      </c>
      <c r="U45" s="221">
        <f>ROUND(9.03*Belarus*(1-C92),2)</f>
        <v>9.0299999999999994</v>
      </c>
      <c r="V45" s="219">
        <f>ROUND(10.68*Belarus*(1-C94),2)</f>
        <v>10.68</v>
      </c>
      <c r="W45" s="221">
        <f>ROUND(8*Belarus*(1-C90),2)</f>
        <v>8</v>
      </c>
    </row>
    <row r="46" spans="1:23" s="184" customFormat="1">
      <c r="A46" s="1421"/>
      <c r="B46" s="1422"/>
      <c r="C46" s="1423"/>
      <c r="D46" s="1442"/>
      <c r="E46" s="1442"/>
      <c r="F46" s="282">
        <v>0.6</v>
      </c>
      <c r="G46" s="221">
        <f>ROUND(2.69*Belarus*(1-C92),2)</f>
        <v>2.69</v>
      </c>
      <c r="H46" s="223">
        <f>ROUND(2.47*Belarus*(1-C92),2)</f>
        <v>2.4700000000000002</v>
      </c>
      <c r="I46" s="221">
        <f>ROUND(2.83*Belarus*(1-C92),2)</f>
        <v>2.83</v>
      </c>
      <c r="J46" s="856" t="s">
        <v>369</v>
      </c>
      <c r="K46" s="1182" t="s">
        <v>369</v>
      </c>
      <c r="M46" s="1351"/>
      <c r="N46" s="1351"/>
      <c r="O46" s="1351"/>
      <c r="P46" s="1386"/>
      <c r="Q46" s="1386"/>
      <c r="R46" s="856">
        <v>0.7</v>
      </c>
      <c r="S46" s="221">
        <f>ROUND(12.1*Belarus*(1-C92),2)</f>
        <v>12.1</v>
      </c>
      <c r="T46" s="223">
        <f>ROUND(10*Belarus*(1-C92),2)</f>
        <v>10</v>
      </c>
      <c r="U46" s="221">
        <f>ROUND(9.64*Belarus*(1-C92),2)</f>
        <v>9.64</v>
      </c>
      <c r="V46" s="219">
        <f>ROUND(11.21*Belarus*(1-C95),2)</f>
        <v>11.21</v>
      </c>
      <c r="W46" s="221">
        <f>ROUND(9.99*Belarus*(1-C92),2)</f>
        <v>9.99</v>
      </c>
    </row>
    <row r="47" spans="1:23" s="184" customFormat="1">
      <c r="A47" s="1421"/>
      <c r="B47" s="1422"/>
      <c r="C47" s="1423"/>
      <c r="D47" s="1442"/>
      <c r="E47" s="1442"/>
      <c r="F47" s="282">
        <v>0.7</v>
      </c>
      <c r="G47" s="221">
        <f>ROUND(3.01*Belarus*(1-C92),2)</f>
        <v>3.01</v>
      </c>
      <c r="H47" s="223">
        <f>ROUND(2.83*Belarus*(1-C92),2)</f>
        <v>2.83</v>
      </c>
      <c r="I47" s="221">
        <f>ROUND(3.15*Belarus*(1-C92),2)</f>
        <v>3.15</v>
      </c>
      <c r="J47" s="856" t="s">
        <v>369</v>
      </c>
      <c r="K47" s="1182" t="s">
        <v>369</v>
      </c>
      <c r="M47" s="1351"/>
      <c r="N47" s="1351"/>
      <c r="O47" s="1351"/>
      <c r="P47" s="1386"/>
      <c r="Q47" s="1386"/>
      <c r="R47" s="856">
        <v>0.9</v>
      </c>
      <c r="S47" s="221">
        <f>ROUND(16.25*Belarus*(1-C92),2)</f>
        <v>16.25</v>
      </c>
      <c r="T47" s="223">
        <f>ROUND(13.54*Belarus*(1-C922),2)</f>
        <v>13.54</v>
      </c>
      <c r="U47" s="221">
        <f>ROUND(13.09*Belarus*(1-C92),2)</f>
        <v>13.09</v>
      </c>
      <c r="V47" s="219">
        <f>ROUND(15.49*Belarus*(1-C96),2)</f>
        <v>15.49</v>
      </c>
      <c r="W47" s="221">
        <f>ROUND(13.94*Belarus*(1-C92),2)</f>
        <v>13.94</v>
      </c>
    </row>
    <row r="48" spans="1:23" s="184" customFormat="1" ht="12.75" customHeight="1">
      <c r="A48" s="1424"/>
      <c r="B48" s="1425"/>
      <c r="C48" s="1426"/>
      <c r="D48" s="1443"/>
      <c r="E48" s="1443"/>
      <c r="F48" s="282">
        <v>0.9</v>
      </c>
      <c r="G48" s="221">
        <f>ROUND(4.36*Belarus*(1-C92),2)</f>
        <v>4.3600000000000003</v>
      </c>
      <c r="H48" s="223">
        <f>ROUND(3.97*Belarus*(1-C92),2)</f>
        <v>3.97</v>
      </c>
      <c r="I48" s="221">
        <f>ROUND(4.04*Belarus*(1-C92),2)</f>
        <v>4.04</v>
      </c>
      <c r="J48" s="856" t="s">
        <v>369</v>
      </c>
      <c r="K48" s="1182" t="s">
        <v>369</v>
      </c>
      <c r="M48" s="1418" t="s">
        <v>4204</v>
      </c>
      <c r="N48" s="1419"/>
      <c r="O48" s="1420"/>
      <c r="P48" s="1386">
        <v>70</v>
      </c>
      <c r="Q48" s="1386" t="s">
        <v>640</v>
      </c>
      <c r="R48" s="856">
        <v>0.55000000000000004</v>
      </c>
      <c r="S48" s="221" t="s">
        <v>369</v>
      </c>
      <c r="T48" s="1106" t="s">
        <v>369</v>
      </c>
      <c r="U48" s="1182" t="s">
        <v>369</v>
      </c>
      <c r="V48" s="856" t="s">
        <v>369</v>
      </c>
      <c r="W48" s="1182" t="s">
        <v>369</v>
      </c>
    </row>
    <row r="49" spans="1:23" s="184" customFormat="1" ht="12.75" customHeight="1">
      <c r="A49" s="1351" t="s">
        <v>4205</v>
      </c>
      <c r="B49" s="1351"/>
      <c r="C49" s="1351"/>
      <c r="D49" s="1386">
        <v>150</v>
      </c>
      <c r="E49" s="1386" t="s">
        <v>640</v>
      </c>
      <c r="F49" s="282">
        <v>0.4</v>
      </c>
      <c r="G49" s="1182" t="s">
        <v>369</v>
      </c>
      <c r="H49" s="1106" t="s">
        <v>369</v>
      </c>
      <c r="I49" s="1182" t="s">
        <v>369</v>
      </c>
      <c r="J49" s="856" t="s">
        <v>369</v>
      </c>
      <c r="K49" s="1182" t="s">
        <v>369</v>
      </c>
      <c r="M49" s="1421"/>
      <c r="N49" s="1422"/>
      <c r="O49" s="1423"/>
      <c r="P49" s="1386"/>
      <c r="Q49" s="1386"/>
      <c r="R49" s="856">
        <v>0.6</v>
      </c>
      <c r="S49" s="221">
        <f>ROUND(9.83*Belarus*(1-C92),2)</f>
        <v>9.83</v>
      </c>
      <c r="T49" s="1106" t="s">
        <v>369</v>
      </c>
      <c r="U49" s="1182" t="s">
        <v>369</v>
      </c>
      <c r="V49" s="856" t="s">
        <v>369</v>
      </c>
      <c r="W49" s="1182" t="s">
        <v>369</v>
      </c>
    </row>
    <row r="50" spans="1:23" s="184" customFormat="1">
      <c r="A50" s="1351"/>
      <c r="B50" s="1351"/>
      <c r="C50" s="1351"/>
      <c r="D50" s="1386"/>
      <c r="E50" s="1386"/>
      <c r="F50" s="282">
        <v>0.45</v>
      </c>
      <c r="G50" s="1182">
        <f>ROUND(3.35*Belarus*(1-C92),2)</f>
        <v>3.35</v>
      </c>
      <c r="H50" s="1106" t="s">
        <v>369</v>
      </c>
      <c r="I50" s="1182" t="s">
        <v>3624</v>
      </c>
      <c r="J50" s="856" t="s">
        <v>369</v>
      </c>
      <c r="K50" s="1182" t="s">
        <v>369</v>
      </c>
      <c r="M50" s="1421"/>
      <c r="N50" s="1422"/>
      <c r="O50" s="1423"/>
      <c r="P50" s="1386"/>
      <c r="Q50" s="1386"/>
      <c r="R50" s="856">
        <v>0.7</v>
      </c>
      <c r="S50" s="221">
        <f>ROUND(10.31*Belarus*(1-C92),2)</f>
        <v>10.31</v>
      </c>
      <c r="T50" s="1106" t="s">
        <v>369</v>
      </c>
      <c r="U50" s="1182" t="s">
        <v>369</v>
      </c>
      <c r="V50" s="856" t="s">
        <v>369</v>
      </c>
      <c r="W50" s="1182" t="s">
        <v>369</v>
      </c>
    </row>
    <row r="51" spans="1:23" s="184" customFormat="1">
      <c r="A51" s="1351"/>
      <c r="B51" s="1351"/>
      <c r="C51" s="1351"/>
      <c r="D51" s="1386"/>
      <c r="E51" s="1386"/>
      <c r="F51" s="282">
        <v>0.5</v>
      </c>
      <c r="G51" s="1182" t="s">
        <v>369</v>
      </c>
      <c r="H51" s="1106" t="s">
        <v>369</v>
      </c>
      <c r="I51" s="1182" t="s">
        <v>3624</v>
      </c>
      <c r="J51" s="856" t="s">
        <v>369</v>
      </c>
      <c r="K51" s="1182" t="s">
        <v>369</v>
      </c>
      <c r="M51" s="1424"/>
      <c r="N51" s="1425"/>
      <c r="O51" s="1426"/>
      <c r="P51" s="1386"/>
      <c r="Q51" s="1386"/>
      <c r="R51" s="856">
        <v>0.9</v>
      </c>
      <c r="S51" s="221">
        <f>ROUND(14.59*Belarus*(1-C92),2)</f>
        <v>14.59</v>
      </c>
      <c r="T51" s="1106" t="s">
        <v>369</v>
      </c>
      <c r="U51" s="1182" t="s">
        <v>369</v>
      </c>
      <c r="V51" s="856" t="s">
        <v>369</v>
      </c>
      <c r="W51" s="1182" t="s">
        <v>369</v>
      </c>
    </row>
    <row r="52" spans="1:23" s="184" customFormat="1">
      <c r="A52" s="1351"/>
      <c r="B52" s="1351"/>
      <c r="C52" s="1351"/>
      <c r="D52" s="1386"/>
      <c r="E52" s="1386"/>
      <c r="F52" s="282">
        <v>0.55000000000000004</v>
      </c>
      <c r="G52" s="1182" t="s">
        <v>369</v>
      </c>
      <c r="H52" s="1106">
        <f>ROUND(3.7*Belarus*(1-C92),2)</f>
        <v>3.7</v>
      </c>
      <c r="I52" s="221">
        <f>ROUND(3.58*Belarus*(1-C92),2)</f>
        <v>3.58</v>
      </c>
      <c r="J52" s="856" t="s">
        <v>369</v>
      </c>
      <c r="K52" s="1182" t="s">
        <v>369</v>
      </c>
      <c r="M52" s="1869" t="s">
        <v>3805</v>
      </c>
      <c r="N52" s="1869"/>
      <c r="O52" s="1869"/>
      <c r="P52" s="78">
        <v>70</v>
      </c>
      <c r="Q52" s="856" t="s">
        <v>640</v>
      </c>
      <c r="R52" s="856">
        <v>0.7</v>
      </c>
      <c r="S52" s="221">
        <f>ROUND(9.83*Belarus*(1-C92),2)</f>
        <v>9.83</v>
      </c>
      <c r="T52" s="1106" t="s">
        <v>369</v>
      </c>
      <c r="U52" s="1182" t="s">
        <v>369</v>
      </c>
      <c r="V52" s="856" t="s">
        <v>369</v>
      </c>
      <c r="W52" s="1182" t="s">
        <v>369</v>
      </c>
    </row>
    <row r="53" spans="1:23" s="184" customFormat="1">
      <c r="A53" s="1351"/>
      <c r="B53" s="1351"/>
      <c r="C53" s="1351"/>
      <c r="D53" s="1386"/>
      <c r="E53" s="1386"/>
      <c r="F53" s="282">
        <v>0.6</v>
      </c>
      <c r="G53" s="221">
        <f>ROUND(4.09*Belarus*(1-C92),2)</f>
        <v>4.09</v>
      </c>
      <c r="H53" s="1106">
        <f>ROUND(3.99*Belarus*(1-C92),2)</f>
        <v>3.99</v>
      </c>
      <c r="I53" s="221">
        <f>ROUND(3.9*Belarus*(1-C92),2)</f>
        <v>3.9</v>
      </c>
      <c r="J53" s="219">
        <f>ROUND(3.71*Belarus*(1-C92),2)</f>
        <v>3.71</v>
      </c>
      <c r="K53" s="1182" t="s">
        <v>369</v>
      </c>
      <c r="M53" s="1351" t="s">
        <v>3806</v>
      </c>
      <c r="N53" s="1351"/>
      <c r="O53" s="1351"/>
      <c r="P53" s="101">
        <v>100</v>
      </c>
      <c r="Q53" s="856" t="s">
        <v>640</v>
      </c>
      <c r="R53" s="856">
        <v>0.7</v>
      </c>
      <c r="S53" s="221">
        <f>ROUND(7.45*Belarus*(1-C92),2)</f>
        <v>7.45</v>
      </c>
      <c r="T53" s="1106" t="s">
        <v>369</v>
      </c>
      <c r="U53" s="1182" t="s">
        <v>369</v>
      </c>
      <c r="V53" s="856" t="s">
        <v>369</v>
      </c>
      <c r="W53" s="1182" t="s">
        <v>369</v>
      </c>
    </row>
    <row r="54" spans="1:23" s="184" customFormat="1" ht="12.75" customHeight="1">
      <c r="A54" s="1351"/>
      <c r="B54" s="1351"/>
      <c r="C54" s="1351"/>
      <c r="D54" s="1386"/>
      <c r="E54" s="1386"/>
      <c r="F54" s="282">
        <v>0.7</v>
      </c>
      <c r="G54" s="221">
        <f>ROUND(4.29*Belarus*(1-C92),2)</f>
        <v>4.29</v>
      </c>
      <c r="H54" s="1106">
        <f>ROUND(4.32*Belarus*(1-C92),2)</f>
        <v>4.32</v>
      </c>
      <c r="I54" s="221">
        <f>ROUND(4.16*Belarus*(1-C92),2)</f>
        <v>4.16</v>
      </c>
      <c r="J54" s="219">
        <f>ROUND(3.79*Belarus*(1-C92),2)</f>
        <v>3.79</v>
      </c>
      <c r="K54" s="1182" t="s">
        <v>369</v>
      </c>
      <c r="M54" s="1418" t="s">
        <v>3807</v>
      </c>
      <c r="N54" s="1419"/>
      <c r="O54" s="1420"/>
      <c r="P54" s="1766">
        <v>150</v>
      </c>
      <c r="Q54" s="1766" t="s">
        <v>640</v>
      </c>
      <c r="R54" s="856">
        <v>0.6</v>
      </c>
      <c r="S54" s="221">
        <f>ROUND(6.5*Belarus*(1-C92),2)</f>
        <v>6.5</v>
      </c>
      <c r="T54" s="2547">
        <f>ROUND(6.37*Belarus*(1-C92),2)</f>
        <v>6.37</v>
      </c>
      <c r="U54" s="2549">
        <f>ROUND(6.07*Belarus*(1-C92),2)</f>
        <v>6.07</v>
      </c>
      <c r="V54" s="856" t="s">
        <v>369</v>
      </c>
      <c r="W54" s="1182" t="s">
        <v>369</v>
      </c>
    </row>
    <row r="55" spans="1:23" s="184" customFormat="1">
      <c r="A55" s="1351"/>
      <c r="B55" s="1351"/>
      <c r="C55" s="1351"/>
      <c r="D55" s="1386"/>
      <c r="E55" s="1386"/>
      <c r="F55" s="282">
        <v>0.9</v>
      </c>
      <c r="G55" s="221">
        <f>ROUND(6.6*Belarus*(1-C92),2)</f>
        <v>6.6</v>
      </c>
      <c r="H55" s="1106">
        <f>ROUND(5.84*Belarus*(1-C92),2)</f>
        <v>5.84</v>
      </c>
      <c r="I55" s="221">
        <f>ROUND(5.65*Belarus*(1-C92),2)</f>
        <v>5.65</v>
      </c>
      <c r="J55" s="219">
        <f>ROUND(5.35*Belarus*(1-C92),2)</f>
        <v>5.35</v>
      </c>
      <c r="K55" s="1182" t="s">
        <v>369</v>
      </c>
      <c r="M55" s="1421"/>
      <c r="N55" s="1422"/>
      <c r="O55" s="1423"/>
      <c r="P55" s="1442"/>
      <c r="Q55" s="1442"/>
      <c r="R55" s="856">
        <v>0.7</v>
      </c>
      <c r="S55" s="221">
        <f>ROUND(8.57*Belarus*(1-C92),2)</f>
        <v>8.57</v>
      </c>
      <c r="T55" s="2548"/>
      <c r="U55" s="2550"/>
      <c r="V55" s="219">
        <f>ROUND(4.73*Belarus*(1-C92),2)</f>
        <v>4.7300000000000004</v>
      </c>
      <c r="W55" s="221">
        <f>ROUND(4.63*Belarus*(1-C92),2)</f>
        <v>4.63</v>
      </c>
    </row>
    <row r="56" spans="1:23" s="184" customFormat="1">
      <c r="A56" s="1351" t="s">
        <v>4206</v>
      </c>
      <c r="B56" s="1351"/>
      <c r="C56" s="1351"/>
      <c r="D56" s="1386">
        <v>150</v>
      </c>
      <c r="E56" s="1386" t="s">
        <v>640</v>
      </c>
      <c r="F56" s="282">
        <v>0.4</v>
      </c>
      <c r="G56" s="1182" t="s">
        <v>369</v>
      </c>
      <c r="H56" s="1106" t="s">
        <v>369</v>
      </c>
      <c r="I56" s="1182" t="s">
        <v>369</v>
      </c>
      <c r="J56" s="856" t="s">
        <v>369</v>
      </c>
      <c r="K56" s="1182" t="s">
        <v>369</v>
      </c>
      <c r="M56" s="1424"/>
      <c r="N56" s="1425"/>
      <c r="O56" s="1426"/>
      <c r="P56" s="1443"/>
      <c r="Q56" s="1443"/>
      <c r="R56" s="856">
        <v>0.9</v>
      </c>
      <c r="S56" s="221" t="s">
        <v>369</v>
      </c>
      <c r="T56" s="1184" t="s">
        <v>369</v>
      </c>
      <c r="U56" s="1055" t="s">
        <v>369</v>
      </c>
      <c r="V56" s="219">
        <f>ROUND(6.09*Belarus*(1-C92),2)</f>
        <v>6.09</v>
      </c>
      <c r="W56" s="1182" t="s">
        <v>369</v>
      </c>
    </row>
    <row r="57" spans="1:23" s="184" customFormat="1" ht="12.75" customHeight="1">
      <c r="A57" s="1351"/>
      <c r="B57" s="1351"/>
      <c r="C57" s="1351"/>
      <c r="D57" s="1386"/>
      <c r="E57" s="1386"/>
      <c r="F57" s="282">
        <v>0.45</v>
      </c>
      <c r="G57" s="1182" t="s">
        <v>369</v>
      </c>
      <c r="H57" s="1106" t="s">
        <v>3624</v>
      </c>
      <c r="I57" s="1182" t="s">
        <v>3624</v>
      </c>
      <c r="J57" s="856" t="s">
        <v>369</v>
      </c>
      <c r="K57" s="221">
        <f>ROUND(2.77*Belarus*(1-C92),2)</f>
        <v>2.77</v>
      </c>
      <c r="M57" s="1418" t="s">
        <v>3808</v>
      </c>
      <c r="N57" s="1419"/>
      <c r="O57" s="1420"/>
      <c r="P57" s="101">
        <v>200</v>
      </c>
      <c r="Q57" s="856" t="s">
        <v>640</v>
      </c>
      <c r="R57" s="856">
        <v>0.4</v>
      </c>
      <c r="S57" s="1055" t="s">
        <v>369</v>
      </c>
      <c r="T57" s="1184" t="s">
        <v>369</v>
      </c>
      <c r="U57" s="1055" t="s">
        <v>369</v>
      </c>
      <c r="V57" s="219">
        <f>ROUND(3.53*Belarus*(1-C92),2)</f>
        <v>3.53</v>
      </c>
      <c r="W57" s="1182" t="s">
        <v>369</v>
      </c>
    </row>
    <row r="58" spans="1:23" s="184" customFormat="1" ht="12.75" customHeight="1">
      <c r="A58" s="1351"/>
      <c r="B58" s="1351"/>
      <c r="C58" s="1351"/>
      <c r="D58" s="1386"/>
      <c r="E58" s="1386"/>
      <c r="F58" s="282">
        <v>0.5</v>
      </c>
      <c r="G58" s="1182" t="s">
        <v>369</v>
      </c>
      <c r="H58" s="1106" t="s">
        <v>3624</v>
      </c>
      <c r="I58" s="1182" t="s">
        <v>3624</v>
      </c>
      <c r="J58" s="856" t="s">
        <v>369</v>
      </c>
      <c r="K58" s="221">
        <f>ROUND(3.09*Belarus*(1-C92),2)</f>
        <v>3.09</v>
      </c>
      <c r="M58" s="1421"/>
      <c r="N58" s="1422"/>
      <c r="O58" s="1423"/>
      <c r="P58" s="101">
        <v>200</v>
      </c>
      <c r="Q58" s="856" t="s">
        <v>640</v>
      </c>
      <c r="R58" s="856">
        <v>0.45</v>
      </c>
      <c r="S58" s="1055" t="s">
        <v>369</v>
      </c>
      <c r="T58" s="1184" t="s">
        <v>369</v>
      </c>
      <c r="U58" s="1055" t="s">
        <v>369</v>
      </c>
      <c r="V58" s="219" t="s">
        <v>369</v>
      </c>
      <c r="W58" s="221">
        <f>ROUND(3.53*Belarus*(1-D92),2)</f>
        <v>3.53</v>
      </c>
    </row>
    <row r="59" spans="1:23" s="184" customFormat="1" ht="12.75" customHeight="1">
      <c r="A59" s="1351"/>
      <c r="B59" s="1351"/>
      <c r="C59" s="1351"/>
      <c r="D59" s="1386"/>
      <c r="E59" s="1386"/>
      <c r="F59" s="282">
        <v>0.55000000000000004</v>
      </c>
      <c r="G59" s="1182" t="s">
        <v>369</v>
      </c>
      <c r="H59" s="223">
        <f>ROUND(3.33*Belarus*(1-C92),2)</f>
        <v>3.33</v>
      </c>
      <c r="I59" s="221">
        <f>ROUND(3.32*Belarus*(1-C92),2)</f>
        <v>3.32</v>
      </c>
      <c r="J59" s="856" t="s">
        <v>369</v>
      </c>
      <c r="K59" s="1182" t="s">
        <v>369</v>
      </c>
      <c r="M59" s="1424"/>
      <c r="N59" s="1425"/>
      <c r="O59" s="1426"/>
      <c r="P59" s="101">
        <v>50</v>
      </c>
      <c r="Q59" s="856" t="s">
        <v>640</v>
      </c>
      <c r="R59" s="856">
        <v>0.5</v>
      </c>
      <c r="S59" s="221">
        <f>ROUND(4.48*Belarus*(1-C92),2)</f>
        <v>4.4800000000000004</v>
      </c>
      <c r="T59" s="223">
        <f>ROUND(4.67*Belarus*(1-C92),2)</f>
        <v>4.67</v>
      </c>
      <c r="U59" s="221">
        <f>ROUND(4.33*Belarus*(1-C92),2)</f>
        <v>4.33</v>
      </c>
      <c r="V59" s="219" t="s">
        <v>369</v>
      </c>
      <c r="W59" s="247" t="s">
        <v>369</v>
      </c>
    </row>
    <row r="60" spans="1:23" s="184" customFormat="1" ht="25.5">
      <c r="A60" s="1351"/>
      <c r="B60" s="1351"/>
      <c r="C60" s="1351"/>
      <c r="D60" s="1386"/>
      <c r="E60" s="1386"/>
      <c r="F60" s="282">
        <v>0.6</v>
      </c>
      <c r="G60" s="221">
        <f>ROUND(3.57*Belarus*(1-C92),2)</f>
        <v>3.57</v>
      </c>
      <c r="H60" s="223">
        <f>ROUND(3.59*Belarus*(1-C92),2)</f>
        <v>3.59</v>
      </c>
      <c r="I60" s="221">
        <f>ROUND(3.62*Belarus*(1-C92),2)</f>
        <v>3.62</v>
      </c>
      <c r="J60" s="223" t="s">
        <v>369</v>
      </c>
      <c r="K60" s="221">
        <f>ROUND(3.58*Belarus*(1-C92),2)</f>
        <v>3.58</v>
      </c>
      <c r="M60" s="1351" t="s">
        <v>3809</v>
      </c>
      <c r="N60" s="1351"/>
      <c r="O60" s="1351"/>
      <c r="P60" s="103" t="s">
        <v>4207</v>
      </c>
      <c r="Q60" s="856" t="s">
        <v>640</v>
      </c>
      <c r="R60" s="101">
        <v>0.7</v>
      </c>
      <c r="S60" s="221">
        <f>ROUND(10.51*Belarus*(1-C92),2)</f>
        <v>10.51</v>
      </c>
      <c r="T60" s="223">
        <f>ROUND(9.91*Belarus*(1-C92),2)</f>
        <v>9.91</v>
      </c>
      <c r="U60" s="221">
        <f>ROUND(10.4*Belarus*(1-C92),2)</f>
        <v>10.4</v>
      </c>
      <c r="V60" s="219">
        <f>ROUND(9.12*Belarus*(1-C92),2)</f>
        <v>9.1199999999999992</v>
      </c>
      <c r="W60" s="247" t="s">
        <v>369</v>
      </c>
    </row>
    <row r="61" spans="1:23" s="184" customFormat="1" ht="12.75" customHeight="1">
      <c r="A61" s="1351"/>
      <c r="B61" s="1351"/>
      <c r="C61" s="1351"/>
      <c r="D61" s="1386"/>
      <c r="E61" s="1386"/>
      <c r="F61" s="282">
        <v>0.7</v>
      </c>
      <c r="G61" s="221">
        <f>ROUND(3.8*Belarus*(1-C92),2)</f>
        <v>3.8</v>
      </c>
      <c r="H61" s="223">
        <f>ROUND(3.88*Belarus*(1-C92),2)</f>
        <v>3.88</v>
      </c>
      <c r="I61" s="221">
        <f>ROUND(3.87*Belarus*(1-C92),2)</f>
        <v>3.87</v>
      </c>
      <c r="J61" s="223" t="s">
        <v>369</v>
      </c>
      <c r="K61" s="221">
        <f>ROUND(3.74*Belarus*(1-C92),2)</f>
        <v>3.74</v>
      </c>
      <c r="M61" s="1409" t="s">
        <v>3810</v>
      </c>
      <c r="N61" s="1410"/>
      <c r="O61" s="1411"/>
      <c r="P61" s="101">
        <v>100</v>
      </c>
      <c r="Q61" s="856" t="s">
        <v>640</v>
      </c>
      <c r="R61" s="856">
        <v>0.6</v>
      </c>
      <c r="S61" s="221">
        <f>ROUND(10.33*Belarus*(1-C92),2)</f>
        <v>10.33</v>
      </c>
      <c r="T61" s="223">
        <f>ROUND(10.34*Belarus*(1-C92),2)</f>
        <v>10.34</v>
      </c>
      <c r="U61" s="1182" t="s">
        <v>369</v>
      </c>
      <c r="V61" s="219">
        <f>ROUND(8.55*Belarus*(1-C92),2)</f>
        <v>8.5500000000000007</v>
      </c>
      <c r="W61" s="221">
        <f>ROUND(7.62*Belarus*(1-C92),2)</f>
        <v>7.62</v>
      </c>
    </row>
    <row r="62" spans="1:23" s="184" customFormat="1" ht="12.75" customHeight="1">
      <c r="A62" s="1351"/>
      <c r="B62" s="1351"/>
      <c r="C62" s="1351"/>
      <c r="D62" s="1386"/>
      <c r="E62" s="1386"/>
      <c r="F62" s="282">
        <v>0.9</v>
      </c>
      <c r="G62" s="221">
        <f>ROUND(5.7*Belarus*(1-C92),2)</f>
        <v>5.7</v>
      </c>
      <c r="H62" s="223">
        <f>ROUND(5.3*Belarus*(1-C92),2)</f>
        <v>5.3</v>
      </c>
      <c r="I62" s="221">
        <f>ROUND(5.23*Belarus*(1-C92),2)</f>
        <v>5.23</v>
      </c>
      <c r="J62" s="223" t="s">
        <v>369</v>
      </c>
      <c r="K62" s="221">
        <f>ROUND(5.01*Belarus*(1-C92),2)</f>
        <v>5.01</v>
      </c>
      <c r="M62" s="867" t="s">
        <v>4208</v>
      </c>
      <c r="N62" s="868"/>
      <c r="O62" s="868"/>
      <c r="P62" s="868"/>
      <c r="Q62" s="868"/>
      <c r="R62" s="868"/>
      <c r="S62" s="868"/>
      <c r="T62" s="868"/>
      <c r="U62" s="868"/>
      <c r="V62" s="868"/>
      <c r="W62" s="869"/>
    </row>
    <row r="63" spans="1:23" s="184" customFormat="1">
      <c r="A63" s="1351" t="s">
        <v>4209</v>
      </c>
      <c r="B63" s="1351"/>
      <c r="C63" s="1351"/>
      <c r="D63" s="1386">
        <v>150</v>
      </c>
      <c r="E63" s="1386" t="s">
        <v>640</v>
      </c>
      <c r="F63" s="282">
        <v>0.4</v>
      </c>
      <c r="G63" s="1182" t="s">
        <v>369</v>
      </c>
      <c r="H63" s="1106" t="s">
        <v>369</v>
      </c>
      <c r="I63" s="1182" t="s">
        <v>369</v>
      </c>
      <c r="J63" s="1106" t="s">
        <v>369</v>
      </c>
      <c r="K63" s="1182" t="s">
        <v>369</v>
      </c>
      <c r="M63" s="1351" t="s">
        <v>4210</v>
      </c>
      <c r="N63" s="1351"/>
      <c r="O63" s="1351"/>
      <c r="P63" s="1386">
        <v>200</v>
      </c>
      <c r="Q63" s="1766" t="s">
        <v>640</v>
      </c>
      <c r="R63" s="856">
        <v>0.6</v>
      </c>
      <c r="S63" s="221">
        <f>ROUND(4.23*Belarus*(1-C92),2)</f>
        <v>4.2300000000000004</v>
      </c>
      <c r="T63" s="856" t="s">
        <v>369</v>
      </c>
      <c r="U63" s="1182" t="s">
        <v>369</v>
      </c>
      <c r="V63" s="856" t="s">
        <v>369</v>
      </c>
      <c r="W63" s="1182" t="s">
        <v>369</v>
      </c>
    </row>
    <row r="64" spans="1:23" s="184" customFormat="1">
      <c r="A64" s="1351"/>
      <c r="B64" s="1351"/>
      <c r="C64" s="1351"/>
      <c r="D64" s="1386"/>
      <c r="E64" s="1386"/>
      <c r="F64" s="282">
        <v>0.45</v>
      </c>
      <c r="G64" s="1182" t="s">
        <v>369</v>
      </c>
      <c r="H64" s="1106" t="s">
        <v>3624</v>
      </c>
      <c r="I64" s="1182" t="s">
        <v>3624</v>
      </c>
      <c r="J64" s="1106" t="s">
        <v>369</v>
      </c>
      <c r="K64" s="221" t="s">
        <v>369</v>
      </c>
      <c r="M64" s="1351"/>
      <c r="N64" s="1351"/>
      <c r="O64" s="1351"/>
      <c r="P64" s="1386"/>
      <c r="Q64" s="1443"/>
      <c r="R64" s="856">
        <v>0.7</v>
      </c>
      <c r="S64" s="221">
        <f>ROUND(4.57*Belarus*(1-C92),2)</f>
        <v>4.57</v>
      </c>
      <c r="T64" s="856" t="s">
        <v>369</v>
      </c>
      <c r="U64" s="1182" t="s">
        <v>369</v>
      </c>
      <c r="V64" s="219">
        <f>ROUND(4.12*Belarus*(1-C92),2)</f>
        <v>4.12</v>
      </c>
      <c r="W64" s="1182" t="s">
        <v>369</v>
      </c>
    </row>
    <row r="65" spans="1:23" s="184" customFormat="1">
      <c r="A65" s="1351"/>
      <c r="B65" s="1351"/>
      <c r="C65" s="1351"/>
      <c r="D65" s="1386"/>
      <c r="E65" s="1386"/>
      <c r="F65" s="282">
        <v>0.5</v>
      </c>
      <c r="G65" s="1182" t="s">
        <v>369</v>
      </c>
      <c r="H65" s="1106" t="s">
        <v>3624</v>
      </c>
      <c r="I65" s="1182" t="s">
        <v>3624</v>
      </c>
      <c r="J65" s="1106" t="s">
        <v>369</v>
      </c>
      <c r="K65" s="221" t="s">
        <v>369</v>
      </c>
      <c r="M65" s="1351" t="s">
        <v>4211</v>
      </c>
      <c r="N65" s="1351"/>
      <c r="O65" s="1351"/>
      <c r="P65" s="1386">
        <v>100</v>
      </c>
      <c r="Q65" s="1766" t="s">
        <v>640</v>
      </c>
      <c r="R65" s="856">
        <v>0.6</v>
      </c>
      <c r="S65" s="221">
        <f>ROUND(3.92*Belarus*(1-C92),2)</f>
        <v>3.92</v>
      </c>
      <c r="T65" s="856" t="s">
        <v>369</v>
      </c>
      <c r="U65" s="1182" t="s">
        <v>369</v>
      </c>
      <c r="V65" s="1106" t="s">
        <v>369</v>
      </c>
      <c r="W65" s="1182" t="s">
        <v>369</v>
      </c>
    </row>
    <row r="66" spans="1:23" s="184" customFormat="1" ht="12.75" customHeight="1">
      <c r="A66" s="1351"/>
      <c r="B66" s="1351"/>
      <c r="C66" s="1351"/>
      <c r="D66" s="1386"/>
      <c r="E66" s="1386"/>
      <c r="F66" s="282">
        <v>0.55000000000000004</v>
      </c>
      <c r="G66" s="1182" t="s">
        <v>369</v>
      </c>
      <c r="H66" s="223">
        <f>ROUND(3.97*Belarus*(1-C92),2)</f>
        <v>3.97</v>
      </c>
      <c r="I66" s="221">
        <f>ROUND(3.83*Belarus*(1-C92),2)</f>
        <v>3.83</v>
      </c>
      <c r="J66" s="856" t="s">
        <v>369</v>
      </c>
      <c r="K66" s="221" t="s">
        <v>369</v>
      </c>
      <c r="M66" s="1351"/>
      <c r="N66" s="1351"/>
      <c r="O66" s="1351"/>
      <c r="P66" s="1386"/>
      <c r="Q66" s="1443"/>
      <c r="R66" s="856">
        <v>0.7</v>
      </c>
      <c r="S66" s="221">
        <f>ROUND(4.28*Belarus*(1-C92),2)</f>
        <v>4.28</v>
      </c>
      <c r="T66" s="856" t="s">
        <v>369</v>
      </c>
      <c r="U66" s="1182" t="s">
        <v>369</v>
      </c>
      <c r="V66" s="1106" t="s">
        <v>369</v>
      </c>
      <c r="W66" s="1182" t="s">
        <v>369</v>
      </c>
    </row>
    <row r="67" spans="1:23" s="184" customFormat="1" ht="12.75" customHeight="1">
      <c r="A67" s="1351"/>
      <c r="B67" s="1351"/>
      <c r="C67" s="1351"/>
      <c r="D67" s="1386"/>
      <c r="E67" s="1386"/>
      <c r="F67" s="282">
        <v>0.6</v>
      </c>
      <c r="G67" s="221">
        <f>ROUND(4.29*Belarus*(1-C92),2)</f>
        <v>4.29</v>
      </c>
      <c r="H67" s="223">
        <f>ROUND(4.27*Belarus*(1-C92),2)</f>
        <v>4.2699999999999996</v>
      </c>
      <c r="I67" s="221">
        <f>ROUND(4.17*Belarus*(1-C92),2)</f>
        <v>4.17</v>
      </c>
      <c r="J67" s="219">
        <f>ROUND(4.39*Belarus*(1-C92),2)</f>
        <v>4.3899999999999997</v>
      </c>
      <c r="K67" s="221" t="s">
        <v>369</v>
      </c>
      <c r="M67" s="1351" t="s">
        <v>4212</v>
      </c>
      <c r="N67" s="1351"/>
      <c r="O67" s="1351"/>
      <c r="P67" s="101">
        <v>100</v>
      </c>
      <c r="Q67" s="856" t="s">
        <v>640</v>
      </c>
      <c r="R67" s="856">
        <v>0.7</v>
      </c>
      <c r="S67" s="221">
        <f>ROUND(5.24*Belarus*(1-C92),2)</f>
        <v>5.24</v>
      </c>
      <c r="T67" s="856" t="s">
        <v>369</v>
      </c>
      <c r="U67" s="1182" t="s">
        <v>369</v>
      </c>
      <c r="V67" s="1106" t="s">
        <v>369</v>
      </c>
      <c r="W67" s="1182" t="s">
        <v>369</v>
      </c>
    </row>
    <row r="68" spans="1:23" s="184" customFormat="1" ht="12.75" customHeight="1">
      <c r="A68" s="1351"/>
      <c r="B68" s="1351"/>
      <c r="C68" s="1351"/>
      <c r="D68" s="1386"/>
      <c r="E68" s="1386"/>
      <c r="F68" s="282">
        <v>0.7</v>
      </c>
      <c r="G68" s="221">
        <f>ROUND(4.58*Belarus*(1-C92),2)</f>
        <v>4.58</v>
      </c>
      <c r="H68" s="223">
        <f>ROUND(4.63*Belarus*(1-C938),2)</f>
        <v>4.63</v>
      </c>
      <c r="I68" s="221">
        <f>ROUND(4.47*Belarus*(1-C92),2)</f>
        <v>4.47</v>
      </c>
      <c r="J68" s="219">
        <f>ROUND(4.57*Belarus*(1-C92),2)</f>
        <v>4.57</v>
      </c>
      <c r="K68" s="221">
        <f>ROUND(3.96*Belarus*(1-C92),2)</f>
        <v>3.96</v>
      </c>
      <c r="M68" s="1351" t="s">
        <v>3811</v>
      </c>
      <c r="N68" s="1351"/>
      <c r="O68" s="1351"/>
      <c r="P68" s="101">
        <v>100</v>
      </c>
      <c r="Q68" s="856" t="s">
        <v>640</v>
      </c>
      <c r="R68" s="856">
        <v>0.9</v>
      </c>
      <c r="S68" s="221">
        <f>ROUND(6.44*Belarus*(1-C92),2)</f>
        <v>6.44</v>
      </c>
      <c r="T68" s="856" t="s">
        <v>369</v>
      </c>
      <c r="U68" s="1182" t="s">
        <v>369</v>
      </c>
      <c r="V68" s="1106" t="s">
        <v>369</v>
      </c>
      <c r="W68" s="1182" t="s">
        <v>369</v>
      </c>
    </row>
    <row r="69" spans="1:23" s="184" customFormat="1" ht="12.75" customHeight="1">
      <c r="A69" s="1351"/>
      <c r="B69" s="1351"/>
      <c r="C69" s="1351"/>
      <c r="D69" s="1386"/>
      <c r="E69" s="1386"/>
      <c r="F69" s="282">
        <v>0.9</v>
      </c>
      <c r="G69" s="221">
        <f>ROUND(7.14*Belarus*(1-C92),2)</f>
        <v>7.14</v>
      </c>
      <c r="H69" s="223">
        <f>ROUND(6.26*Belarus*(1-C92),2)</f>
        <v>6.26</v>
      </c>
      <c r="I69" s="221">
        <f>ROUND(6.07*Belarus*(1-C92),2)</f>
        <v>6.07</v>
      </c>
      <c r="J69" s="219">
        <f>ROUND(6.24*Belarus*(1-C92),2)</f>
        <v>6.24</v>
      </c>
      <c r="K69" s="221">
        <f>ROUND(5.47*Belarus*(1-C92),2)</f>
        <v>5.47</v>
      </c>
      <c r="M69" s="1351" t="s">
        <v>4213</v>
      </c>
      <c r="N69" s="1351"/>
      <c r="O69" s="1351"/>
      <c r="P69" s="101">
        <v>100</v>
      </c>
      <c r="Q69" s="856" t="s">
        <v>640</v>
      </c>
      <c r="R69" s="856">
        <v>0.4</v>
      </c>
      <c r="S69" s="221">
        <f>ROUND(3.57*Belarus*(1-C92),2)</f>
        <v>3.57</v>
      </c>
      <c r="T69" s="856" t="s">
        <v>369</v>
      </c>
      <c r="U69" s="1182" t="s">
        <v>369</v>
      </c>
      <c r="V69" s="223">
        <f>ROUND(2.49*Belarus*(1-C92),2)</f>
        <v>2.4900000000000002</v>
      </c>
      <c r="W69" s="1182" t="s">
        <v>369</v>
      </c>
    </row>
    <row r="70" spans="1:23" s="184" customFormat="1">
      <c r="A70" s="1351" t="s">
        <v>4214</v>
      </c>
      <c r="B70" s="1351"/>
      <c r="C70" s="1351"/>
      <c r="D70" s="1386">
        <v>150</v>
      </c>
      <c r="E70" s="1386" t="s">
        <v>640</v>
      </c>
      <c r="F70" s="282">
        <v>0.4</v>
      </c>
      <c r="G70" s="1182" t="s">
        <v>369</v>
      </c>
      <c r="H70" s="1106" t="s">
        <v>369</v>
      </c>
      <c r="I70" s="1182" t="s">
        <v>369</v>
      </c>
      <c r="J70" s="856" t="s">
        <v>369</v>
      </c>
      <c r="K70" s="1182" t="s">
        <v>369</v>
      </c>
      <c r="M70" s="1351" t="s">
        <v>4215</v>
      </c>
      <c r="N70" s="1351"/>
      <c r="O70" s="1351"/>
      <c r="P70" s="101">
        <v>100</v>
      </c>
      <c r="Q70" s="856" t="s">
        <v>640</v>
      </c>
      <c r="R70" s="856">
        <v>0.6</v>
      </c>
      <c r="S70" s="221">
        <f>ROUND(8.99*Belarus*(1-C92),2)</f>
        <v>8.99</v>
      </c>
      <c r="T70" s="856" t="s">
        <v>369</v>
      </c>
      <c r="U70" s="1182" t="s">
        <v>369</v>
      </c>
      <c r="V70" s="1106" t="s">
        <v>369</v>
      </c>
      <c r="W70" s="1182" t="s">
        <v>369</v>
      </c>
    </row>
    <row r="71" spans="1:23" s="184" customFormat="1">
      <c r="A71" s="1351"/>
      <c r="B71" s="1351"/>
      <c r="C71" s="1351"/>
      <c r="D71" s="1386"/>
      <c r="E71" s="1386"/>
      <c r="F71" s="282">
        <v>0.45</v>
      </c>
      <c r="G71" s="1182" t="s">
        <v>369</v>
      </c>
      <c r="H71" s="1106" t="s">
        <v>369</v>
      </c>
      <c r="I71" s="1182" t="s">
        <v>3624</v>
      </c>
      <c r="J71" s="856" t="s">
        <v>369</v>
      </c>
      <c r="K71" s="1182" t="s">
        <v>369</v>
      </c>
      <c r="M71" s="867" t="s">
        <v>3812</v>
      </c>
      <c r="N71" s="868"/>
      <c r="O71" s="868"/>
      <c r="P71" s="868"/>
      <c r="Q71" s="868"/>
      <c r="R71" s="868"/>
      <c r="S71" s="868"/>
      <c r="T71" s="868"/>
      <c r="U71" s="868"/>
      <c r="V71" s="1112"/>
      <c r="W71" s="869"/>
    </row>
    <row r="72" spans="1:23" s="184" customFormat="1" ht="12.75" customHeight="1">
      <c r="A72" s="1351"/>
      <c r="B72" s="1351"/>
      <c r="C72" s="1351"/>
      <c r="D72" s="1386"/>
      <c r="E72" s="1386"/>
      <c r="F72" s="282">
        <v>0.5</v>
      </c>
      <c r="G72" s="1182" t="s">
        <v>369</v>
      </c>
      <c r="H72" s="1106" t="s">
        <v>369</v>
      </c>
      <c r="I72" s="1182" t="s">
        <v>3624</v>
      </c>
      <c r="J72" s="856" t="s">
        <v>369</v>
      </c>
      <c r="K72" s="1182" t="s">
        <v>369</v>
      </c>
      <c r="M72" s="1351" t="s">
        <v>3813</v>
      </c>
      <c r="N72" s="1351"/>
      <c r="O72" s="1351"/>
      <c r="P72" s="43">
        <v>150</v>
      </c>
      <c r="Q72" s="856" t="s">
        <v>631</v>
      </c>
      <c r="R72" s="856">
        <v>0.25</v>
      </c>
      <c r="S72" s="221" t="s">
        <v>369</v>
      </c>
      <c r="T72" s="219" t="s">
        <v>369</v>
      </c>
      <c r="U72" s="221" t="s">
        <v>369</v>
      </c>
      <c r="V72" s="219">
        <f>ROUND(8.28*Belarus*(1-C92),2)</f>
        <v>8.2799999999999994</v>
      </c>
      <c r="W72" s="221">
        <f>ROUND(8.69*Belarus*(1-C92),2)</f>
        <v>8.69</v>
      </c>
    </row>
    <row r="73" spans="1:23" s="184" customFormat="1" ht="12.75" customHeight="1">
      <c r="A73" s="1351"/>
      <c r="B73" s="1351"/>
      <c r="C73" s="1351"/>
      <c r="D73" s="1386"/>
      <c r="E73" s="1386"/>
      <c r="F73" s="282">
        <v>0.55000000000000004</v>
      </c>
      <c r="G73" s="1182" t="s">
        <v>369</v>
      </c>
      <c r="H73" s="856" t="s">
        <v>369</v>
      </c>
      <c r="I73" s="221">
        <f>ROUND(3.58*Belarus*(1-C92),2)</f>
        <v>3.58</v>
      </c>
      <c r="J73" s="856" t="s">
        <v>369</v>
      </c>
      <c r="K73" s="1182" t="s">
        <v>369</v>
      </c>
      <c r="M73" s="1351"/>
      <c r="N73" s="1351"/>
      <c r="O73" s="1351"/>
      <c r="P73" s="43">
        <v>150</v>
      </c>
      <c r="Q73" s="856" t="s">
        <v>631</v>
      </c>
      <c r="R73" s="856">
        <v>0.3</v>
      </c>
      <c r="S73" s="221">
        <f>ROUND(10.79*Belarus*(1-C92),2)</f>
        <v>10.79</v>
      </c>
      <c r="T73" s="223">
        <f>ROUND(9.98*Belarus*(1-C92),2)</f>
        <v>9.98</v>
      </c>
      <c r="U73" s="221">
        <f>ROUND(9*Belarus*(1-C92),2)</f>
        <v>9</v>
      </c>
      <c r="V73" s="219">
        <f>ROUND(8.8*Belarus*(1-C92),2)</f>
        <v>8.8000000000000007</v>
      </c>
      <c r="W73" s="221">
        <f>ROUND(9.48*Belarus*(1-C92),2)</f>
        <v>9.48</v>
      </c>
    </row>
    <row r="74" spans="1:23" s="184" customFormat="1" ht="12.75" customHeight="1">
      <c r="A74" s="1351"/>
      <c r="B74" s="1351"/>
      <c r="C74" s="1351"/>
      <c r="D74" s="1386"/>
      <c r="E74" s="1386"/>
      <c r="F74" s="282">
        <v>0.6</v>
      </c>
      <c r="G74" s="1182" t="s">
        <v>369</v>
      </c>
      <c r="H74" s="856" t="s">
        <v>369</v>
      </c>
      <c r="I74" s="221">
        <f>ROUND(3.9*Belarus*(1-C92),2)</f>
        <v>3.9</v>
      </c>
      <c r="J74" s="219" t="s">
        <v>369</v>
      </c>
      <c r="K74" s="1182" t="s">
        <v>369</v>
      </c>
      <c r="M74" s="1351" t="s">
        <v>3814</v>
      </c>
      <c r="N74" s="1351"/>
      <c r="O74" s="1351"/>
      <c r="P74" s="43">
        <v>150</v>
      </c>
      <c r="Q74" s="856" t="s">
        <v>631</v>
      </c>
      <c r="R74" s="856">
        <v>0.3</v>
      </c>
      <c r="S74" s="221">
        <f>ROUND(11.87*Belarus*(1-C92),2)</f>
        <v>11.87</v>
      </c>
      <c r="T74" s="223" t="s">
        <v>369</v>
      </c>
      <c r="U74" s="221" t="s">
        <v>369</v>
      </c>
      <c r="V74" s="299" t="s">
        <v>369</v>
      </c>
      <c r="W74" s="1123" t="s">
        <v>369</v>
      </c>
    </row>
    <row r="75" spans="1:23" s="184" customFormat="1" ht="12.75" customHeight="1">
      <c r="A75" s="1351"/>
      <c r="B75" s="1351"/>
      <c r="C75" s="1351"/>
      <c r="D75" s="1386"/>
      <c r="E75" s="1386"/>
      <c r="F75" s="282">
        <v>0.7</v>
      </c>
      <c r="G75" s="1182" t="s">
        <v>369</v>
      </c>
      <c r="H75" s="856" t="s">
        <v>369</v>
      </c>
      <c r="I75" s="221">
        <f>ROUND(4.16*Belarus*(1-C92),2)</f>
        <v>4.16</v>
      </c>
      <c r="J75" s="219" t="s">
        <v>369</v>
      </c>
      <c r="K75" s="1182" t="s">
        <v>369</v>
      </c>
      <c r="M75" s="1351" t="s">
        <v>3815</v>
      </c>
      <c r="N75" s="1351"/>
      <c r="O75" s="1351"/>
      <c r="P75" s="43">
        <v>150</v>
      </c>
      <c r="Q75" s="856" t="s">
        <v>631</v>
      </c>
      <c r="R75" s="856">
        <v>0.25</v>
      </c>
      <c r="S75" s="221" t="s">
        <v>369</v>
      </c>
      <c r="T75" s="223" t="s">
        <v>369</v>
      </c>
      <c r="U75" s="221" t="s">
        <v>369</v>
      </c>
      <c r="V75" s="219">
        <f>ROUND(10.41*Belarus*(1-C92),2)</f>
        <v>10.41</v>
      </c>
      <c r="W75" s="221">
        <f>ROUND(10.71*Belarus*(1-C92),2)</f>
        <v>10.71</v>
      </c>
    </row>
    <row r="76" spans="1:23" s="184" customFormat="1" ht="12.75" customHeight="1">
      <c r="A76" s="1351"/>
      <c r="B76" s="1351"/>
      <c r="C76" s="1351"/>
      <c r="D76" s="1386"/>
      <c r="E76" s="1386"/>
      <c r="F76" s="282">
        <v>0.9</v>
      </c>
      <c r="G76" s="1182" t="s">
        <v>369</v>
      </c>
      <c r="H76" s="856" t="s">
        <v>369</v>
      </c>
      <c r="I76" s="221">
        <f>ROUND(5.65*Belarus*(1-C94),2)</f>
        <v>5.65</v>
      </c>
      <c r="J76" s="219" t="s">
        <v>369</v>
      </c>
      <c r="K76" s="1182" t="s">
        <v>369</v>
      </c>
      <c r="M76" s="1351"/>
      <c r="N76" s="1351"/>
      <c r="O76" s="1351"/>
      <c r="P76" s="43">
        <v>150</v>
      </c>
      <c r="Q76" s="856" t="s">
        <v>631</v>
      </c>
      <c r="R76" s="856">
        <v>0.3</v>
      </c>
      <c r="S76" s="221">
        <f>ROUND(12.48*Belarus*(1-C92),2)</f>
        <v>12.48</v>
      </c>
      <c r="T76" s="223">
        <f>ROUND(11.78*Belarus*(1-C92),2)</f>
        <v>11.78</v>
      </c>
      <c r="U76" s="221">
        <f>ROUND(11.2*Belarus*(1-C92),2)</f>
        <v>11.2</v>
      </c>
      <c r="V76" s="219">
        <f>ROUND(10.75*Belarus*(1-C92),2)</f>
        <v>10.75</v>
      </c>
      <c r="W76" s="221">
        <f>ROUND(10.97*Belarus*(1-C92),2)</f>
        <v>10.97</v>
      </c>
    </row>
    <row r="77" spans="1:23" s="184" customFormat="1" ht="12.75" customHeight="1">
      <c r="M77" s="1351" t="s">
        <v>3816</v>
      </c>
      <c r="N77" s="1351"/>
      <c r="O77" s="1351"/>
      <c r="P77" s="43">
        <v>150</v>
      </c>
      <c r="Q77" s="856" t="s">
        <v>631</v>
      </c>
      <c r="R77" s="856">
        <v>0.3</v>
      </c>
      <c r="S77" s="221">
        <f>ROUND(14.85*Belarus*(1-C92),2)</f>
        <v>14.85</v>
      </c>
      <c r="T77" s="223" t="s">
        <v>369</v>
      </c>
      <c r="U77" s="221" t="s">
        <v>369</v>
      </c>
      <c r="V77" s="299" t="s">
        <v>369</v>
      </c>
      <c r="W77" s="1123" t="s">
        <v>369</v>
      </c>
    </row>
    <row r="78" spans="1:23" s="184" customFormat="1" ht="12.75" customHeight="1">
      <c r="A78" s="1462" t="s">
        <v>3820</v>
      </c>
      <c r="B78" s="1463"/>
      <c r="C78" s="1463"/>
      <c r="D78" s="1463"/>
      <c r="E78" s="1463"/>
      <c r="F78" s="1463"/>
      <c r="G78" s="1463"/>
      <c r="H78" s="1463"/>
      <c r="I78" s="1463"/>
      <c r="J78" s="1463"/>
      <c r="K78" s="1464"/>
      <c r="M78" s="1351" t="s">
        <v>3817</v>
      </c>
      <c r="N78" s="1351"/>
      <c r="O78" s="1351"/>
      <c r="P78" s="43">
        <v>75</v>
      </c>
      <c r="Q78" s="856" t="s">
        <v>631</v>
      </c>
      <c r="R78" s="856" t="s">
        <v>369</v>
      </c>
      <c r="S78" s="221">
        <f>ROUND(16.88*Belarus*(1-C92),2)</f>
        <v>16.88</v>
      </c>
      <c r="T78" s="223">
        <f>ROUND(16.07*Belarus*(1-C92),2)</f>
        <v>16.07</v>
      </c>
      <c r="U78" s="221">
        <f>ROUND(14.48*Belarus*(1-C92),2)</f>
        <v>14.48</v>
      </c>
      <c r="V78" s="299" t="s">
        <v>369</v>
      </c>
      <c r="W78" s="221" t="s">
        <v>369</v>
      </c>
    </row>
    <row r="79" spans="1:23" s="184" customFormat="1" ht="12.75" customHeight="1">
      <c r="A79" s="1351" t="s">
        <v>3821</v>
      </c>
      <c r="B79" s="1351"/>
      <c r="C79" s="1351"/>
      <c r="D79" s="43">
        <v>100</v>
      </c>
      <c r="E79" s="856" t="s">
        <v>640</v>
      </c>
      <c r="F79" s="856" t="s">
        <v>369</v>
      </c>
      <c r="G79" s="221">
        <f>ROUND(4.12*Belarus*(1-C92),2)</f>
        <v>4.12</v>
      </c>
      <c r="H79" s="223">
        <f>ROUND(3.55*Belarus*(1-C92),2)</f>
        <v>3.55</v>
      </c>
      <c r="I79" s="221">
        <f>ROUND(4.02*Belarus*(1-C92),2)</f>
        <v>4.0199999999999996</v>
      </c>
      <c r="J79" s="219">
        <f>ROUND(2.96*Belarus*(1-C92),2)</f>
        <v>2.96</v>
      </c>
      <c r="K79" s="1182">
        <f>ROUND(3.94*Belarus*(1-C92),2)</f>
        <v>3.94</v>
      </c>
      <c r="M79" s="1351" t="s">
        <v>4216</v>
      </c>
      <c r="N79" s="1351"/>
      <c r="O79" s="1351"/>
      <c r="P79" s="43">
        <v>75</v>
      </c>
      <c r="Q79" s="856" t="s">
        <v>631</v>
      </c>
      <c r="R79" s="856">
        <v>0.35</v>
      </c>
      <c r="S79" s="221">
        <f>ROUND(15.85*Belarus*(1-C92),2)</f>
        <v>15.85</v>
      </c>
      <c r="T79" s="223">
        <f>ROUND(14.52*Belarus*(1-C92),2)</f>
        <v>14.52</v>
      </c>
      <c r="U79" s="221">
        <f>ROUND(12.57*Belarus*(1-C92),2)</f>
        <v>12.57</v>
      </c>
      <c r="V79" s="219">
        <f>ROUND(9.41*Belarus*(1-C92),2)</f>
        <v>9.41</v>
      </c>
      <c r="W79" s="221">
        <f>ROUND(9.88*Belarus*(1-C92),2)</f>
        <v>9.8800000000000008</v>
      </c>
    </row>
    <row r="80" spans="1:23" s="184" customFormat="1" ht="12.75" customHeight="1">
      <c r="A80" s="1351" t="s">
        <v>3822</v>
      </c>
      <c r="B80" s="1351"/>
      <c r="C80" s="1351"/>
      <c r="D80" s="43">
        <v>100</v>
      </c>
      <c r="E80" s="856" t="s">
        <v>640</v>
      </c>
      <c r="F80" s="856" t="s">
        <v>369</v>
      </c>
      <c r="G80" s="221">
        <f>ROUND(4.72*Belarus*(1-C92),2)</f>
        <v>4.72</v>
      </c>
      <c r="H80" s="223">
        <f>ROUND(4.25*Belarus*(1-C92),2)</f>
        <v>4.25</v>
      </c>
      <c r="I80" s="221">
        <f>ROUND(5.71*Belarus*(1-C92),2)</f>
        <v>5.71</v>
      </c>
      <c r="J80" s="219">
        <f>ROUND(3.82*Belarus*(1-C92),2)</f>
        <v>3.82</v>
      </c>
      <c r="K80" s="1182" t="s">
        <v>369</v>
      </c>
      <c r="M80" s="1351" t="s">
        <v>6721</v>
      </c>
      <c r="N80" s="1351"/>
      <c r="O80" s="1351"/>
      <c r="P80" s="1281" t="s">
        <v>369</v>
      </c>
      <c r="Q80" s="1386" t="s">
        <v>631</v>
      </c>
      <c r="R80" s="1386" t="s">
        <v>369</v>
      </c>
      <c r="S80" s="2438" t="s">
        <v>369</v>
      </c>
      <c r="T80" s="2221" t="s">
        <v>369</v>
      </c>
      <c r="U80" s="2438" t="s">
        <v>369</v>
      </c>
      <c r="V80" s="1285">
        <f>ROUND(21.35*Belarus*(1-C92),2)</f>
        <v>21.35</v>
      </c>
      <c r="W80" s="2438">
        <f>ROUND(18.11*Belarus*(1-C92),2)</f>
        <v>18.11</v>
      </c>
    </row>
    <row r="81" spans="1:23" s="184" customFormat="1" ht="12.75" customHeight="1">
      <c r="A81" s="1351" t="s">
        <v>3823</v>
      </c>
      <c r="B81" s="1351"/>
      <c r="C81" s="1351"/>
      <c r="D81" s="43">
        <v>100</v>
      </c>
      <c r="E81" s="856" t="s">
        <v>640</v>
      </c>
      <c r="F81" s="856" t="s">
        <v>369</v>
      </c>
      <c r="G81" s="221">
        <f>ROUND(5.67*Belarus*(1-C92),2)</f>
        <v>5.67</v>
      </c>
      <c r="H81" s="223">
        <f>ROUND(4.96*Belarus*(1-C92),2)</f>
        <v>4.96</v>
      </c>
      <c r="I81" s="221">
        <f>ROUND(7.67*Belarus*(1-C92),2)</f>
        <v>7.67</v>
      </c>
      <c r="J81" s="219">
        <f>ROUND(3.66*Belarus*(1-C92),2)</f>
        <v>3.66</v>
      </c>
      <c r="K81" s="1124">
        <f>ROUND(4.2*Belarus*(1-C92),2)</f>
        <v>4.2</v>
      </c>
      <c r="M81" s="1351"/>
      <c r="N81" s="1351"/>
      <c r="O81" s="1351"/>
      <c r="P81" s="1281"/>
      <c r="Q81" s="1386"/>
      <c r="R81" s="1386"/>
      <c r="S81" s="2438"/>
      <c r="T81" s="2221"/>
      <c r="U81" s="2438"/>
      <c r="V81" s="1285"/>
      <c r="W81" s="2438"/>
    </row>
    <row r="82" spans="1:23" s="184" customFormat="1" ht="12.75" customHeight="1">
      <c r="A82" s="1351" t="s">
        <v>3824</v>
      </c>
      <c r="B82" s="1351"/>
      <c r="C82" s="1351"/>
      <c r="D82" s="43">
        <v>100</v>
      </c>
      <c r="E82" s="856" t="s">
        <v>640</v>
      </c>
      <c r="F82" s="856" t="s">
        <v>369</v>
      </c>
      <c r="G82" s="221">
        <f>ROUND(8.19*Belarus*(1-C92),2)</f>
        <v>8.19</v>
      </c>
      <c r="H82" s="223">
        <f>ROUND(7.78*Belarus*(1-C92),2)</f>
        <v>7.78</v>
      </c>
      <c r="I82" s="221">
        <f>ROUND(11.37*Belarus*(1-C92),2)</f>
        <v>11.37</v>
      </c>
      <c r="J82" s="219">
        <f>ROUND(4.92*Belarus*(1-C92),2)</f>
        <v>4.92</v>
      </c>
      <c r="K82" s="1124">
        <f>ROUND(5.9*Belarus*(1-C92),2)</f>
        <v>5.9</v>
      </c>
      <c r="M82" s="1418" t="s">
        <v>3818</v>
      </c>
      <c r="N82" s="1419"/>
      <c r="O82" s="1420"/>
      <c r="P82" s="43">
        <v>75</v>
      </c>
      <c r="Q82" s="856" t="s">
        <v>631</v>
      </c>
      <c r="R82" s="856">
        <v>0.25</v>
      </c>
      <c r="S82" s="221" t="s">
        <v>369</v>
      </c>
      <c r="T82" s="223" t="s">
        <v>369</v>
      </c>
      <c r="U82" s="221" t="s">
        <v>369</v>
      </c>
      <c r="V82" s="219">
        <f>ROUND(6.18*Belarus*(1-C92),2)</f>
        <v>6.18</v>
      </c>
      <c r="W82" s="221">
        <f>ROUND(6.39*Belarus*(1-C92),2)</f>
        <v>6.39</v>
      </c>
    </row>
    <row r="83" spans="1:23" s="184" customFormat="1" ht="12.75" customHeight="1">
      <c r="A83" s="1351" t="s">
        <v>3825</v>
      </c>
      <c r="B83" s="1351"/>
      <c r="C83" s="1351"/>
      <c r="D83" s="43">
        <v>100</v>
      </c>
      <c r="E83" s="856" t="s">
        <v>640</v>
      </c>
      <c r="F83" s="856" t="s">
        <v>369</v>
      </c>
      <c r="G83" s="221">
        <f>ROUND(12.5*Belarus*(1-C92),2)</f>
        <v>12.5</v>
      </c>
      <c r="H83" s="223">
        <f>ROUND(12.01*Belarus*(1-C92),2)</f>
        <v>12.01</v>
      </c>
      <c r="I83" s="221">
        <f>ROUND(15.6*Belarus*(1-C92),2)</f>
        <v>15.6</v>
      </c>
      <c r="J83" s="219">
        <f>ROUND(7.5*Belarus*(1-C92),2)</f>
        <v>7.5</v>
      </c>
      <c r="K83" s="1124">
        <f>ROUND(7.88*Belarus*(1-C92),2)</f>
        <v>7.88</v>
      </c>
      <c r="M83" s="1421"/>
      <c r="N83" s="1422"/>
      <c r="O83" s="1423"/>
      <c r="P83" s="43">
        <v>75</v>
      </c>
      <c r="Q83" s="856" t="s">
        <v>631</v>
      </c>
      <c r="R83" s="856">
        <v>0.3</v>
      </c>
      <c r="S83" s="221">
        <f>ROUND(7.66*Belarus*(1-C92),2)</f>
        <v>7.66</v>
      </c>
      <c r="T83" s="223">
        <f>ROUND(7.2*Belarus*(1-C92),2)</f>
        <v>7.2</v>
      </c>
      <c r="U83" s="221">
        <f>ROUND(6.33*Belarus*(1-C92),2)</f>
        <v>6.33</v>
      </c>
      <c r="V83" s="219">
        <f>ROUND(6.41*Belarus*(1-C92),2)</f>
        <v>6.41</v>
      </c>
      <c r="W83" s="221">
        <f>ROUND(6.68*Belarus*(1-C92),2)</f>
        <v>6.68</v>
      </c>
    </row>
    <row r="84" spans="1:23" s="184" customFormat="1" ht="12.75" customHeight="1">
      <c r="A84" s="1351" t="s">
        <v>3826</v>
      </c>
      <c r="B84" s="1351"/>
      <c r="C84" s="1351"/>
      <c r="D84" s="43">
        <v>100</v>
      </c>
      <c r="E84" s="856" t="s">
        <v>640</v>
      </c>
      <c r="F84" s="856" t="s">
        <v>369</v>
      </c>
      <c r="G84" s="221">
        <f>ROUND(15.43*Belarus*(1-C92),2)</f>
        <v>15.43</v>
      </c>
      <c r="H84" s="223">
        <f>ROUND(14.14*Belarus*(1-C92),2)</f>
        <v>14.14</v>
      </c>
      <c r="I84" s="221">
        <f>ROUND(24.09*Belarus*(1-C92),2)</f>
        <v>24.09</v>
      </c>
      <c r="J84" s="223">
        <f>ROUND(10.03*Belarus*(1-C92),2)</f>
        <v>10.029999999999999</v>
      </c>
      <c r="K84" s="1124">
        <f>ROUND(12.1*Belarus*(1-C92),2)</f>
        <v>12.1</v>
      </c>
      <c r="M84" s="1424"/>
      <c r="N84" s="1425"/>
      <c r="O84" s="1426"/>
      <c r="P84" s="43">
        <v>75</v>
      </c>
      <c r="Q84" s="856" t="s">
        <v>631</v>
      </c>
      <c r="R84" s="856">
        <v>0.5</v>
      </c>
      <c r="S84" s="221" t="s">
        <v>369</v>
      </c>
      <c r="T84" s="223" t="s">
        <v>369</v>
      </c>
      <c r="U84" s="221" t="s">
        <v>369</v>
      </c>
      <c r="V84" s="219">
        <f>ROUND(9.52*Belarus*(1-C92),2)</f>
        <v>9.52</v>
      </c>
      <c r="W84" s="221" t="s">
        <v>369</v>
      </c>
    </row>
    <row r="85" spans="1:23" s="184" customFormat="1">
      <c r="A85" s="1351" t="s">
        <v>3827</v>
      </c>
      <c r="B85" s="1351"/>
      <c r="C85" s="1351"/>
      <c r="D85" s="43">
        <v>100</v>
      </c>
      <c r="E85" s="856" t="s">
        <v>640</v>
      </c>
      <c r="F85" s="856" t="s">
        <v>369</v>
      </c>
      <c r="G85" s="221">
        <f>ROUND(23.81*Belarus*(1-C92),2)</f>
        <v>23.81</v>
      </c>
      <c r="H85" s="223">
        <f>ROUND(22.64*Belarus*(1-C92),2)</f>
        <v>22.64</v>
      </c>
      <c r="I85" s="221">
        <f>ROUND(31.96*Belarus*(1-C92),2)</f>
        <v>31.96</v>
      </c>
      <c r="J85" s="856" t="s">
        <v>369</v>
      </c>
      <c r="K85" s="1182" t="s">
        <v>369</v>
      </c>
      <c r="M85" s="1418" t="s">
        <v>3819</v>
      </c>
      <c r="N85" s="1419"/>
      <c r="O85" s="1420"/>
      <c r="P85" s="43">
        <v>75</v>
      </c>
      <c r="Q85" s="856" t="s">
        <v>631</v>
      </c>
      <c r="R85" s="856">
        <v>0.25</v>
      </c>
      <c r="S85" s="221" t="s">
        <v>369</v>
      </c>
      <c r="T85" s="223" t="s">
        <v>369</v>
      </c>
      <c r="U85" s="221" t="s">
        <v>369</v>
      </c>
      <c r="V85" s="223">
        <f>ROUND(8.02*Belarus*(1-C92),2)</f>
        <v>8.02</v>
      </c>
      <c r="W85" s="221">
        <f>ROUND(8.24*Belarus*(1-C92),2)</f>
        <v>8.24</v>
      </c>
    </row>
    <row r="86" spans="1:23" s="184" customFormat="1">
      <c r="M86" s="1424"/>
      <c r="N86" s="1425"/>
      <c r="O86" s="1426"/>
      <c r="P86" s="43">
        <v>75</v>
      </c>
      <c r="Q86" s="856" t="s">
        <v>631</v>
      </c>
      <c r="R86" s="856">
        <v>0.3</v>
      </c>
      <c r="S86" s="221">
        <f>ROUND(10.79*Belarus*(1-C92),2)</f>
        <v>10.79</v>
      </c>
      <c r="T86" s="223">
        <f>ROUND(9.45*Belarus*(1-C92),2)</f>
        <v>9.4499999999999993</v>
      </c>
      <c r="U86" s="221">
        <f>ROUND(8.27*Belarus*(1-C92),2)</f>
        <v>8.27</v>
      </c>
      <c r="V86" s="223">
        <f>ROUND(8.88*Belarus*(1-C92),2)</f>
        <v>8.8800000000000008</v>
      </c>
      <c r="W86" s="221">
        <f>ROUND(9.09*Belarus*(1-C92),2)</f>
        <v>9.09</v>
      </c>
    </row>
    <row r="87" spans="1:23" s="184" customFormat="1">
      <c r="A87" s="2551" t="s">
        <v>4217</v>
      </c>
      <c r="B87" s="2551"/>
      <c r="C87" s="2551"/>
      <c r="D87" s="2551"/>
      <c r="E87" s="2551"/>
      <c r="F87" s="2551"/>
      <c r="G87" s="2551"/>
      <c r="H87" s="2551"/>
      <c r="I87" s="2551"/>
      <c r="J87" s="2551"/>
      <c r="K87" s="2551"/>
    </row>
    <row r="91" spans="1:23">
      <c r="A91" s="2519" t="s">
        <v>1835</v>
      </c>
      <c r="B91" s="2519"/>
      <c r="C91" s="2552" t="s">
        <v>2795</v>
      </c>
      <c r="D91" s="2553"/>
      <c r="E91" s="2553"/>
      <c r="F91" s="2554"/>
    </row>
    <row r="92" spans="1:23">
      <c r="A92" s="2519"/>
      <c r="B92" s="2519"/>
      <c r="C92" s="2555">
        <v>0</v>
      </c>
      <c r="D92" s="2556"/>
      <c r="E92" s="2556"/>
      <c r="F92" s="2557"/>
    </row>
  </sheetData>
  <mergeCells count="167">
    <mergeCell ref="A80:C80"/>
    <mergeCell ref="M80:O81"/>
    <mergeCell ref="A85:C85"/>
    <mergeCell ref="M85:O86"/>
    <mergeCell ref="A87:K87"/>
    <mergeCell ref="A91:B92"/>
    <mergeCell ref="C91:F91"/>
    <mergeCell ref="C92:F92"/>
    <mergeCell ref="V80:V81"/>
    <mergeCell ref="W80:W81"/>
    <mergeCell ref="A81:C81"/>
    <mergeCell ref="A82:C82"/>
    <mergeCell ref="M82:O84"/>
    <mergeCell ref="A83:C83"/>
    <mergeCell ref="A84:C84"/>
    <mergeCell ref="P80:P81"/>
    <mergeCell ref="Q80:Q81"/>
    <mergeCell ref="R80:R81"/>
    <mergeCell ref="A63:C69"/>
    <mergeCell ref="D63:D69"/>
    <mergeCell ref="S80:S81"/>
    <mergeCell ref="T80:T81"/>
    <mergeCell ref="U80:U81"/>
    <mergeCell ref="M77:O77"/>
    <mergeCell ref="A78:K78"/>
    <mergeCell ref="M78:O78"/>
    <mergeCell ref="A79:C79"/>
    <mergeCell ref="M79:O79"/>
    <mergeCell ref="A70:C76"/>
    <mergeCell ref="D70:D76"/>
    <mergeCell ref="E70:E76"/>
    <mergeCell ref="M70:O70"/>
    <mergeCell ref="M72:O73"/>
    <mergeCell ref="M74:O74"/>
    <mergeCell ref="M75:O76"/>
    <mergeCell ref="E63:E69"/>
    <mergeCell ref="M63:O64"/>
    <mergeCell ref="P63:P64"/>
    <mergeCell ref="Q63:Q64"/>
    <mergeCell ref="M65:O66"/>
    <mergeCell ref="P65:P66"/>
    <mergeCell ref="Q65:Q66"/>
    <mergeCell ref="M67:O67"/>
    <mergeCell ref="M68:O68"/>
    <mergeCell ref="M69:O69"/>
    <mergeCell ref="Q54:Q56"/>
    <mergeCell ref="T54:T55"/>
    <mergeCell ref="U54:U55"/>
    <mergeCell ref="A56:C62"/>
    <mergeCell ref="D56:D62"/>
    <mergeCell ref="E56:E62"/>
    <mergeCell ref="M57:O59"/>
    <mergeCell ref="M60:O60"/>
    <mergeCell ref="M61:O61"/>
    <mergeCell ref="D49:D55"/>
    <mergeCell ref="P54:P56"/>
    <mergeCell ref="A42:C48"/>
    <mergeCell ref="D42:D48"/>
    <mergeCell ref="E42:E48"/>
    <mergeCell ref="M42:O47"/>
    <mergeCell ref="P42:P47"/>
    <mergeCell ref="Q42:Q47"/>
    <mergeCell ref="M48:O51"/>
    <mergeCell ref="P48:P51"/>
    <mergeCell ref="Q48:Q51"/>
    <mergeCell ref="A49:C55"/>
    <mergeCell ref="S39:S40"/>
    <mergeCell ref="E49:E55"/>
    <mergeCell ref="M52:O52"/>
    <mergeCell ref="M53:O53"/>
    <mergeCell ref="M54:O56"/>
    <mergeCell ref="A41:K41"/>
    <mergeCell ref="M41:W41"/>
    <mergeCell ref="M38:O40"/>
    <mergeCell ref="P38:P40"/>
    <mergeCell ref="Q38:Q40"/>
    <mergeCell ref="R38:R40"/>
    <mergeCell ref="S38:W38"/>
    <mergeCell ref="G39:G40"/>
    <mergeCell ref="H39:H40"/>
    <mergeCell ref="I39:I40"/>
    <mergeCell ref="J39:J40"/>
    <mergeCell ref="K39:K40"/>
    <mergeCell ref="T39:T40"/>
    <mergeCell ref="U39:U40"/>
    <mergeCell ref="V39:V40"/>
    <mergeCell ref="W39:W40"/>
    <mergeCell ref="M31:M36"/>
    <mergeCell ref="N31:N36"/>
    <mergeCell ref="O31:O36"/>
    <mergeCell ref="P31:P36"/>
    <mergeCell ref="Q31:Q36"/>
    <mergeCell ref="A38:C40"/>
    <mergeCell ref="D38:D40"/>
    <mergeCell ref="E38:E40"/>
    <mergeCell ref="F38:F40"/>
    <mergeCell ref="G38:K38"/>
    <mergeCell ref="M25:M30"/>
    <mergeCell ref="N25:N30"/>
    <mergeCell ref="O25:O30"/>
    <mergeCell ref="P25:P30"/>
    <mergeCell ref="Q25:Q30"/>
    <mergeCell ref="A31:A36"/>
    <mergeCell ref="B31:B36"/>
    <mergeCell ref="C31:C36"/>
    <mergeCell ref="D31:D36"/>
    <mergeCell ref="E31:E36"/>
    <mergeCell ref="M19:M24"/>
    <mergeCell ref="N19:N24"/>
    <mergeCell ref="O19:O24"/>
    <mergeCell ref="P19:P24"/>
    <mergeCell ref="Q19:Q24"/>
    <mergeCell ref="A25:A30"/>
    <mergeCell ref="B25:B30"/>
    <mergeCell ref="C25:C30"/>
    <mergeCell ref="D25:D30"/>
    <mergeCell ref="E25:E30"/>
    <mergeCell ref="M13:M18"/>
    <mergeCell ref="N13:N18"/>
    <mergeCell ref="O13:O18"/>
    <mergeCell ref="P13:P18"/>
    <mergeCell ref="Q13:Q18"/>
    <mergeCell ref="A19:A24"/>
    <mergeCell ref="B19:B24"/>
    <mergeCell ref="C19:C24"/>
    <mergeCell ref="D19:D24"/>
    <mergeCell ref="E19:E24"/>
    <mergeCell ref="M7:M12"/>
    <mergeCell ref="N7:N12"/>
    <mergeCell ref="O7:O12"/>
    <mergeCell ref="P7:P12"/>
    <mergeCell ref="Q7:Q12"/>
    <mergeCell ref="A13:A18"/>
    <mergeCell ref="B13:B18"/>
    <mergeCell ref="C13:C18"/>
    <mergeCell ref="D13:D18"/>
    <mergeCell ref="E13:E18"/>
    <mergeCell ref="S5:S6"/>
    <mergeCell ref="T5:T6"/>
    <mergeCell ref="U5:U6"/>
    <mergeCell ref="V5:V6"/>
    <mergeCell ref="W5:W6"/>
    <mergeCell ref="A7:A12"/>
    <mergeCell ref="B7:B12"/>
    <mergeCell ref="C7:C12"/>
    <mergeCell ref="D7:D12"/>
    <mergeCell ref="E7:E12"/>
    <mergeCell ref="M4:N6"/>
    <mergeCell ref="O4:P5"/>
    <mergeCell ref="Q4:Q6"/>
    <mergeCell ref="R4:R6"/>
    <mergeCell ref="S4:W4"/>
    <mergeCell ref="G5:G6"/>
    <mergeCell ref="H5:H6"/>
    <mergeCell ref="I5:I6"/>
    <mergeCell ref="J5:J6"/>
    <mergeCell ref="K5:K6"/>
    <mergeCell ref="A1:C1"/>
    <mergeCell ref="A2:R2"/>
    <mergeCell ref="V2:W2"/>
    <mergeCell ref="A3:S3"/>
    <mergeCell ref="V3:W3"/>
    <mergeCell ref="A4:B6"/>
    <mergeCell ref="C4:D5"/>
    <mergeCell ref="E4:E6"/>
    <mergeCell ref="F4:F6"/>
    <mergeCell ref="G4:K4"/>
  </mergeCells>
  <hyperlinks>
    <hyperlink ref="A1" location="Содержание прайса!A1" display="Вернуться в начало"/>
    <hyperlink ref="A1:C1" location="'Содержание прайса'!A1" display="Вернуться в начало"/>
  </hyperlinks>
  <printOptions horizontalCentered="1"/>
  <pageMargins left="0" right="0" top="0.47244094488188981" bottom="0" header="0" footer="0"/>
  <pageSetup paperSize="9" scale="48" orientation="landscape" horizontalDpi="300" verticalDpi="300" r:id="rId1"/>
  <headerFooter scaleWithDoc="0">
    <oddHeader xml:space="preserve">&amp;L&amp;G&amp;R&amp;5Центр поддержки клиентов Grand Line: +7 (495) 748-38-38 
cайт: www.grandline.ru   </oddHeader>
    <oddFooter>&amp;R&amp;6Страница 37</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L98"/>
  <sheetViews>
    <sheetView zoomScale="70" zoomScaleNormal="70" zoomScaleSheetLayoutView="90" workbookViewId="0">
      <selection sqref="A1:D1"/>
    </sheetView>
  </sheetViews>
  <sheetFormatPr defaultColWidth="9.42578125" defaultRowHeight="12.75"/>
  <cols>
    <col min="1" max="1" width="85" style="46" customWidth="1"/>
    <col min="2" max="2" width="24.85546875" style="46" customWidth="1"/>
    <col min="3" max="3" width="48.28515625" style="46" customWidth="1"/>
    <col min="4" max="4" width="7.85546875" style="46" customWidth="1"/>
    <col min="5" max="5" width="16.5703125" style="46" customWidth="1"/>
    <col min="6" max="6" width="14.140625" style="46" customWidth="1"/>
    <col min="7" max="7" width="14.85546875" style="46" customWidth="1"/>
    <col min="8" max="8" width="21.7109375" style="46" customWidth="1"/>
    <col min="9" max="9" width="20.85546875" style="46" customWidth="1"/>
    <col min="10" max="10" width="15.7109375" style="46" customWidth="1"/>
    <col min="11" max="12" width="9.28515625" style="46" customWidth="1"/>
    <col min="13" max="16384" width="9.42578125" style="46"/>
  </cols>
  <sheetData>
    <row r="1" spans="1:12">
      <c r="A1" s="1666" t="s">
        <v>312</v>
      </c>
      <c r="B1" s="1666"/>
      <c r="C1" s="1666"/>
      <c r="D1" s="1666"/>
    </row>
    <row r="2" spans="1:12" s="54" customFormat="1">
      <c r="A2" s="46"/>
      <c r="B2" s="46"/>
      <c r="C2" s="46"/>
      <c r="D2" s="46"/>
      <c r="E2" s="46"/>
      <c r="F2" s="46"/>
      <c r="G2" s="303" t="s">
        <v>313</v>
      </c>
      <c r="H2" s="666">
        <v>43299</v>
      </c>
      <c r="I2" s="510"/>
    </row>
    <row r="3" spans="1:12" s="54" customFormat="1" ht="18.75" thickBot="1">
      <c r="A3" s="1667" t="s">
        <v>6491</v>
      </c>
      <c r="B3" s="1667"/>
      <c r="C3" s="1667"/>
      <c r="D3" s="1667"/>
      <c r="E3" s="1667"/>
      <c r="F3" s="1667"/>
      <c r="G3" s="1667"/>
      <c r="H3" s="1667"/>
    </row>
    <row r="4" spans="1:12" s="54" customFormat="1">
      <c r="A4" s="46"/>
      <c r="B4" s="46"/>
      <c r="C4" s="46"/>
      <c r="D4" s="46"/>
      <c r="E4" s="46"/>
      <c r="G4" s="2" t="s">
        <v>315</v>
      </c>
      <c r="H4" s="1059">
        <v>43269</v>
      </c>
    </row>
    <row r="5" spans="1:12" s="54" customFormat="1">
      <c r="A5" s="511" t="s">
        <v>2502</v>
      </c>
      <c r="B5" s="511" t="s">
        <v>2791</v>
      </c>
      <c r="C5" s="511" t="s">
        <v>2503</v>
      </c>
      <c r="D5" s="511" t="s">
        <v>3228</v>
      </c>
      <c r="E5" s="2369" t="s">
        <v>2505</v>
      </c>
      <c r="F5" s="2567"/>
      <c r="G5" s="2567"/>
      <c r="H5" s="2370"/>
      <c r="I5" s="2568" t="s">
        <v>2796</v>
      </c>
      <c r="J5" s="2568"/>
      <c r="K5" s="2568"/>
      <c r="L5" s="2568"/>
    </row>
    <row r="6" spans="1:12" s="54" customFormat="1">
      <c r="A6" s="2356" t="s">
        <v>6790</v>
      </c>
      <c r="B6" s="2357"/>
      <c r="C6" s="2357"/>
      <c r="D6" s="2357"/>
      <c r="E6" s="2357"/>
      <c r="F6" s="2357"/>
      <c r="G6" s="2357"/>
      <c r="H6" s="2358"/>
      <c r="I6" s="2568"/>
      <c r="J6" s="2568"/>
      <c r="K6" s="2568"/>
      <c r="L6" s="2568"/>
    </row>
    <row r="7" spans="1:12" s="54" customFormat="1">
      <c r="A7" s="211" t="s">
        <v>6791</v>
      </c>
      <c r="B7" s="2384"/>
      <c r="C7" s="2384" t="s">
        <v>2509</v>
      </c>
      <c r="D7" s="507" t="s">
        <v>845</v>
      </c>
      <c r="E7" s="1916">
        <f>ROUND(8.1*Belarus*(1-B98),2)</f>
        <v>8.1</v>
      </c>
      <c r="F7" s="2566"/>
      <c r="G7" s="2566"/>
      <c r="H7" s="1917"/>
      <c r="I7" s="2122"/>
      <c r="J7" s="2123"/>
      <c r="K7" s="2122" t="s">
        <v>2797</v>
      </c>
      <c r="L7" s="2123"/>
    </row>
    <row r="8" spans="1:12" s="54" customFormat="1">
      <c r="A8" s="226" t="s">
        <v>6792</v>
      </c>
      <c r="B8" s="2384"/>
      <c r="C8" s="2384"/>
      <c r="D8" s="507" t="s">
        <v>845</v>
      </c>
      <c r="E8" s="1916">
        <f>ROUND(9.8*Belarus*(1-B98),2)</f>
        <v>9.8000000000000007</v>
      </c>
      <c r="F8" s="2566"/>
      <c r="G8" s="2566"/>
      <c r="H8" s="1917"/>
      <c r="I8" s="2124"/>
      <c r="J8" s="2125"/>
      <c r="K8" s="2124"/>
      <c r="L8" s="2125"/>
    </row>
    <row r="9" spans="1:12" s="54" customFormat="1">
      <c r="A9" s="226" t="s">
        <v>6793</v>
      </c>
      <c r="B9" s="2384"/>
      <c r="C9" s="2384"/>
      <c r="D9" s="507" t="s">
        <v>845</v>
      </c>
      <c r="E9" s="1916">
        <f>ROUND(10.4*Belarus*(1-B98),2)</f>
        <v>10.4</v>
      </c>
      <c r="F9" s="2566"/>
      <c r="G9" s="2566"/>
      <c r="H9" s="1917"/>
      <c r="I9" s="2124"/>
      <c r="J9" s="2125"/>
      <c r="K9" s="2124"/>
      <c r="L9" s="2125"/>
    </row>
    <row r="10" spans="1:12" s="54" customFormat="1">
      <c r="A10" s="226" t="s">
        <v>6794</v>
      </c>
      <c r="B10" s="2384"/>
      <c r="C10" s="2384"/>
      <c r="D10" s="507" t="s">
        <v>845</v>
      </c>
      <c r="E10" s="1916">
        <f>ROUND(11.3*Belarus*(1-B98),2)</f>
        <v>11.3</v>
      </c>
      <c r="F10" s="2566"/>
      <c r="G10" s="2566"/>
      <c r="H10" s="1917"/>
      <c r="I10" s="2124"/>
      <c r="J10" s="2125"/>
      <c r="K10" s="2124"/>
      <c r="L10" s="2125"/>
    </row>
    <row r="11" spans="1:12" s="54" customFormat="1">
      <c r="A11" s="226" t="s">
        <v>6795</v>
      </c>
      <c r="B11" s="2384"/>
      <c r="C11" s="2384"/>
      <c r="D11" s="507" t="s">
        <v>845</v>
      </c>
      <c r="E11" s="1916">
        <f>ROUND(12.8*Belarus*(1-B98),2)</f>
        <v>12.8</v>
      </c>
      <c r="F11" s="2566"/>
      <c r="G11" s="2566"/>
      <c r="H11" s="1917"/>
      <c r="I11" s="2124"/>
      <c r="J11" s="2125"/>
      <c r="K11" s="2124"/>
      <c r="L11" s="2125"/>
    </row>
    <row r="12" spans="1:12" s="54" customFormat="1">
      <c r="A12" s="226" t="s">
        <v>6796</v>
      </c>
      <c r="B12" s="2384"/>
      <c r="C12" s="2384"/>
      <c r="D12" s="507" t="s">
        <v>845</v>
      </c>
      <c r="E12" s="1916">
        <f>ROUND(14.4*Belarus*(1-B98),2)</f>
        <v>14.4</v>
      </c>
      <c r="F12" s="2566"/>
      <c r="G12" s="2566"/>
      <c r="H12" s="1917"/>
      <c r="I12" s="2124"/>
      <c r="J12" s="2125"/>
      <c r="K12" s="2124"/>
      <c r="L12" s="2125"/>
    </row>
    <row r="13" spans="1:12" s="54" customFormat="1">
      <c r="A13" s="226" t="s">
        <v>6797</v>
      </c>
      <c r="B13" s="2384"/>
      <c r="C13" s="2384"/>
      <c r="D13" s="507" t="s">
        <v>845</v>
      </c>
      <c r="E13" s="1916">
        <f>ROUND(15.4*Belarus*(1-B98),2)</f>
        <v>15.4</v>
      </c>
      <c r="F13" s="2566"/>
      <c r="G13" s="2566"/>
      <c r="H13" s="1917"/>
      <c r="I13" s="2124"/>
      <c r="J13" s="2125"/>
      <c r="K13" s="2124"/>
      <c r="L13" s="2125"/>
    </row>
    <row r="14" spans="1:12" s="54" customFormat="1">
      <c r="A14" s="2356" t="s">
        <v>6798</v>
      </c>
      <c r="B14" s="2357"/>
      <c r="C14" s="2357"/>
      <c r="D14" s="2357"/>
      <c r="E14" s="2357"/>
      <c r="F14" s="2357"/>
      <c r="G14" s="2357"/>
      <c r="H14" s="2358"/>
      <c r="I14" s="2124"/>
      <c r="J14" s="2125"/>
      <c r="K14" s="2124"/>
      <c r="L14" s="2125"/>
    </row>
    <row r="15" spans="1:12" s="54" customFormat="1">
      <c r="A15" s="211" t="s">
        <v>6301</v>
      </c>
      <c r="B15" s="2384"/>
      <c r="C15" s="2384" t="s">
        <v>2522</v>
      </c>
      <c r="D15" s="507" t="s">
        <v>845</v>
      </c>
      <c r="E15" s="1916">
        <f>ROUND(21.8*Belarus*(1-B98),2)</f>
        <v>21.8</v>
      </c>
      <c r="F15" s="2566"/>
      <c r="G15" s="2566"/>
      <c r="H15" s="1917"/>
      <c r="I15" s="2124"/>
      <c r="J15" s="2125"/>
      <c r="K15" s="2124"/>
      <c r="L15" s="2125"/>
    </row>
    <row r="16" spans="1:12" s="54" customFormat="1">
      <c r="A16" s="211" t="s">
        <v>6302</v>
      </c>
      <c r="B16" s="2384"/>
      <c r="C16" s="2384"/>
      <c r="D16" s="507" t="s">
        <v>845</v>
      </c>
      <c r="E16" s="1916">
        <f>ROUND(24.8*Belarus*(1-B98),2)</f>
        <v>24.8</v>
      </c>
      <c r="F16" s="2566"/>
      <c r="G16" s="2566"/>
      <c r="H16" s="1917"/>
      <c r="I16" s="2124"/>
      <c r="J16" s="2125"/>
      <c r="K16" s="2124"/>
      <c r="L16" s="2125"/>
    </row>
    <row r="17" spans="1:12" s="54" customFormat="1">
      <c r="A17" s="211" t="s">
        <v>6303</v>
      </c>
      <c r="B17" s="2384"/>
      <c r="C17" s="2384"/>
      <c r="D17" s="507" t="s">
        <v>845</v>
      </c>
      <c r="E17" s="1916">
        <f>ROUND(27.8*Belarus*(1-B98),2)</f>
        <v>27.8</v>
      </c>
      <c r="F17" s="2566"/>
      <c r="G17" s="2566"/>
      <c r="H17" s="1917"/>
      <c r="I17" s="2124"/>
      <c r="J17" s="2125"/>
      <c r="K17" s="2124"/>
      <c r="L17" s="2125"/>
    </row>
    <row r="18" spans="1:12" s="54" customFormat="1">
      <c r="A18" s="211" t="s">
        <v>6304</v>
      </c>
      <c r="B18" s="2384"/>
      <c r="C18" s="2384"/>
      <c r="D18" s="507" t="s">
        <v>845</v>
      </c>
      <c r="E18" s="1916">
        <f>ROUND(30.8*Belarus*(1-B98),2)</f>
        <v>30.8</v>
      </c>
      <c r="F18" s="2566"/>
      <c r="G18" s="2566"/>
      <c r="H18" s="1917"/>
      <c r="I18" s="2124"/>
      <c r="J18" s="2125"/>
      <c r="K18" s="2124"/>
      <c r="L18" s="2125"/>
    </row>
    <row r="19" spans="1:12" s="54" customFormat="1">
      <c r="A19" s="2356" t="s">
        <v>6799</v>
      </c>
      <c r="B19" s="2357"/>
      <c r="C19" s="2357"/>
      <c r="D19" s="2357"/>
      <c r="E19" s="2357"/>
      <c r="F19" s="2357"/>
      <c r="G19" s="2357"/>
      <c r="H19" s="2358"/>
      <c r="I19" s="2124"/>
      <c r="J19" s="2125"/>
      <c r="K19" s="2124"/>
      <c r="L19" s="2125"/>
    </row>
    <row r="20" spans="1:12" s="54" customFormat="1">
      <c r="A20" s="226" t="s">
        <v>6800</v>
      </c>
      <c r="B20" s="2384"/>
      <c r="C20" s="2384" t="s">
        <v>2528</v>
      </c>
      <c r="D20" s="507" t="s">
        <v>1096</v>
      </c>
      <c r="E20" s="1916">
        <f>ROUND(53.5*Belarus*(1-B98),2)</f>
        <v>53.5</v>
      </c>
      <c r="F20" s="2566"/>
      <c r="G20" s="2566"/>
      <c r="H20" s="1917"/>
      <c r="I20" s="2124"/>
      <c r="J20" s="2125"/>
      <c r="K20" s="2124"/>
      <c r="L20" s="2125"/>
    </row>
    <row r="21" spans="1:12" s="54" customFormat="1">
      <c r="A21" s="226" t="s">
        <v>6801</v>
      </c>
      <c r="B21" s="2384"/>
      <c r="C21" s="2384"/>
      <c r="D21" s="507" t="s">
        <v>1096</v>
      </c>
      <c r="E21" s="1916">
        <f>ROUND(71.1*Belarus*(1-B98),2)</f>
        <v>71.099999999999994</v>
      </c>
      <c r="F21" s="2566"/>
      <c r="G21" s="2566"/>
      <c r="H21" s="1917"/>
      <c r="I21" s="2124"/>
      <c r="J21" s="2125"/>
      <c r="K21" s="2124"/>
      <c r="L21" s="2125"/>
    </row>
    <row r="22" spans="1:12" s="54" customFormat="1">
      <c r="A22" s="2356" t="s">
        <v>6802</v>
      </c>
      <c r="B22" s="2357"/>
      <c r="C22" s="2357"/>
      <c r="D22" s="2357"/>
      <c r="E22" s="2357"/>
      <c r="F22" s="2357"/>
      <c r="G22" s="2357"/>
      <c r="H22" s="2358"/>
      <c r="I22" s="2124"/>
      <c r="J22" s="2125"/>
      <c r="K22" s="2124"/>
      <c r="L22" s="2125"/>
    </row>
    <row r="23" spans="1:12" s="54" customFormat="1">
      <c r="A23" s="211" t="s">
        <v>6803</v>
      </c>
      <c r="B23" s="1297"/>
      <c r="C23" s="1297" t="s">
        <v>2798</v>
      </c>
      <c r="D23" s="163" t="s">
        <v>1096</v>
      </c>
      <c r="E23" s="1916">
        <f>ROUND(79.5*Belarus*(1-B98),2)</f>
        <v>79.5</v>
      </c>
      <c r="F23" s="2566"/>
      <c r="G23" s="2566"/>
      <c r="H23" s="1917"/>
      <c r="I23" s="2124"/>
      <c r="J23" s="2125"/>
      <c r="K23" s="2124"/>
      <c r="L23" s="2125"/>
    </row>
    <row r="24" spans="1:12" s="54" customFormat="1">
      <c r="A24" s="211" t="s">
        <v>6804</v>
      </c>
      <c r="B24" s="1297"/>
      <c r="C24" s="1297"/>
      <c r="D24" s="163" t="s">
        <v>1096</v>
      </c>
      <c r="E24" s="1916">
        <f>ROUND(86.3*Belarus*(1-B98),2)</f>
        <v>86.3</v>
      </c>
      <c r="F24" s="2566"/>
      <c r="G24" s="2566"/>
      <c r="H24" s="1917"/>
      <c r="I24" s="2124"/>
      <c r="J24" s="2125"/>
      <c r="K24" s="2124"/>
      <c r="L24" s="2125"/>
    </row>
    <row r="25" spans="1:12" s="54" customFormat="1" ht="12.75" customHeight="1">
      <c r="A25" s="46"/>
      <c r="B25" s="46"/>
      <c r="D25" s="46"/>
      <c r="E25" s="46"/>
      <c r="F25" s="46"/>
      <c r="G25" s="46"/>
      <c r="H25" s="46"/>
      <c r="I25" s="2124"/>
      <c r="J25" s="2125"/>
      <c r="K25" s="2124"/>
      <c r="L25" s="2125"/>
    </row>
    <row r="26" spans="1:12" ht="18.75" thickBot="1">
      <c r="A26" s="1667" t="s">
        <v>6492</v>
      </c>
      <c r="B26" s="1667"/>
      <c r="C26" s="1667"/>
      <c r="D26" s="1667"/>
      <c r="E26" s="1667"/>
      <c r="F26" s="1667"/>
      <c r="G26" s="1667"/>
      <c r="H26" s="1667"/>
      <c r="I26" s="2126"/>
      <c r="J26" s="2127"/>
      <c r="K26" s="2126"/>
      <c r="L26" s="2127"/>
    </row>
    <row r="27" spans="1:12" ht="12.75" customHeight="1">
      <c r="A27" s="188"/>
      <c r="D27" s="251"/>
      <c r="E27" s="251"/>
      <c r="G27" s="2" t="s">
        <v>315</v>
      </c>
      <c r="H27" s="1059">
        <v>43269</v>
      </c>
      <c r="I27" s="2122"/>
      <c r="J27" s="2123"/>
      <c r="K27" s="2122" t="s">
        <v>2799</v>
      </c>
      <c r="L27" s="2123"/>
    </row>
    <row r="28" spans="1:12" ht="15" customHeight="1">
      <c r="A28" s="2387" t="s">
        <v>307</v>
      </c>
      <c r="B28" s="2387" t="s">
        <v>2791</v>
      </c>
      <c r="C28" s="2387" t="s">
        <v>2503</v>
      </c>
      <c r="D28" s="2387" t="s">
        <v>622</v>
      </c>
      <c r="E28" s="2369" t="s">
        <v>2505</v>
      </c>
      <c r="F28" s="2567"/>
      <c r="G28" s="2567"/>
      <c r="H28" s="2370"/>
      <c r="I28" s="2124"/>
      <c r="J28" s="2125"/>
      <c r="K28" s="2124"/>
      <c r="L28" s="2125"/>
    </row>
    <row r="29" spans="1:12" ht="25.5" customHeight="1">
      <c r="A29" s="2387"/>
      <c r="B29" s="2387"/>
      <c r="C29" s="2387"/>
      <c r="D29" s="2387"/>
      <c r="E29" s="513" t="s">
        <v>6745</v>
      </c>
      <c r="F29" s="513" t="s">
        <v>6746</v>
      </c>
      <c r="G29" s="513" t="s">
        <v>6747</v>
      </c>
      <c r="H29" s="514" t="s">
        <v>6748</v>
      </c>
      <c r="I29" s="2124"/>
      <c r="J29" s="2125"/>
      <c r="K29" s="2124"/>
      <c r="L29" s="2125"/>
    </row>
    <row r="30" spans="1:12" ht="12.75" customHeight="1">
      <c r="A30" s="2356" t="s">
        <v>6805</v>
      </c>
      <c r="B30" s="2357"/>
      <c r="C30" s="2357"/>
      <c r="D30" s="2357"/>
      <c r="E30" s="2357"/>
      <c r="F30" s="2357"/>
      <c r="G30" s="2357"/>
      <c r="H30" s="2358"/>
      <c r="I30" s="2124"/>
      <c r="J30" s="2125"/>
      <c r="K30" s="2124"/>
      <c r="L30" s="2125"/>
    </row>
    <row r="31" spans="1:12" ht="12.75" customHeight="1">
      <c r="A31" s="211" t="s">
        <v>6806</v>
      </c>
      <c r="B31" s="2384"/>
      <c r="C31" s="2384" t="s">
        <v>6749</v>
      </c>
      <c r="D31" s="507" t="s">
        <v>845</v>
      </c>
      <c r="E31" s="508">
        <f>ROUND(10.6*Belarus*(1-B98),2)</f>
        <v>10.6</v>
      </c>
      <c r="F31" s="508">
        <f>ROUND(15.6*Belarus*(1-B98),2)</f>
        <v>15.6</v>
      </c>
      <c r="G31" s="515" t="s">
        <v>369</v>
      </c>
      <c r="H31" s="515" t="s">
        <v>369</v>
      </c>
      <c r="I31" s="2124"/>
      <c r="J31" s="2125"/>
      <c r="K31" s="2124"/>
      <c r="L31" s="2125"/>
    </row>
    <row r="32" spans="1:12">
      <c r="A32" s="211" t="s">
        <v>6807</v>
      </c>
      <c r="B32" s="2384"/>
      <c r="C32" s="2384"/>
      <c r="D32" s="507" t="s">
        <v>845</v>
      </c>
      <c r="E32" s="508">
        <f>ROUND(13.9*Belarus*(1-B98),2)</f>
        <v>13.9</v>
      </c>
      <c r="F32" s="508">
        <f>ROUND(18.9*Belarus*(1-B98),2)</f>
        <v>18.899999999999999</v>
      </c>
      <c r="G32" s="515" t="s">
        <v>369</v>
      </c>
      <c r="H32" s="515" t="s">
        <v>369</v>
      </c>
      <c r="I32" s="2124"/>
      <c r="J32" s="2125"/>
      <c r="K32" s="2124"/>
      <c r="L32" s="2125"/>
    </row>
    <row r="33" spans="1:12">
      <c r="A33" s="211" t="s">
        <v>6808</v>
      </c>
      <c r="B33" s="2384"/>
      <c r="C33" s="2384"/>
      <c r="D33" s="507" t="s">
        <v>845</v>
      </c>
      <c r="E33" s="508">
        <f>ROUND(15.2*Belarus*(1-B98),2)</f>
        <v>15.2</v>
      </c>
      <c r="F33" s="508">
        <f>ROUND(20.2*Belarus*(1-B98),2)</f>
        <v>20.2</v>
      </c>
      <c r="G33" s="515" t="s">
        <v>369</v>
      </c>
      <c r="H33" s="515" t="s">
        <v>369</v>
      </c>
      <c r="I33" s="2124"/>
      <c r="J33" s="2125"/>
      <c r="K33" s="2124"/>
      <c r="L33" s="2125"/>
    </row>
    <row r="34" spans="1:12">
      <c r="A34" s="211" t="s">
        <v>6809</v>
      </c>
      <c r="B34" s="2384"/>
      <c r="C34" s="2384"/>
      <c r="D34" s="507" t="s">
        <v>845</v>
      </c>
      <c r="E34" s="508">
        <f>ROUND(16.2*Belarus*(1-B98),2)</f>
        <v>16.2</v>
      </c>
      <c r="F34" s="508">
        <f>ROUND(21.2*Belarus*(1-B98),2)</f>
        <v>21.2</v>
      </c>
      <c r="G34" s="515" t="s">
        <v>369</v>
      </c>
      <c r="H34" s="515" t="s">
        <v>369</v>
      </c>
      <c r="I34" s="2124"/>
      <c r="J34" s="2125"/>
      <c r="K34" s="2124"/>
      <c r="L34" s="2125"/>
    </row>
    <row r="35" spans="1:12">
      <c r="A35" s="211" t="s">
        <v>6810</v>
      </c>
      <c r="B35" s="2384"/>
      <c r="C35" s="2384"/>
      <c r="D35" s="507" t="s">
        <v>845</v>
      </c>
      <c r="E35" s="508">
        <f>ROUND(18.1*Belarus*(1-B98),2)</f>
        <v>18.100000000000001</v>
      </c>
      <c r="F35" s="508">
        <f>ROUND(24.1*Belarus*(1-B98),2)</f>
        <v>24.1</v>
      </c>
      <c r="G35" s="515" t="s">
        <v>369</v>
      </c>
      <c r="H35" s="515" t="s">
        <v>369</v>
      </c>
      <c r="I35" s="2124"/>
      <c r="J35" s="2125"/>
      <c r="K35" s="2124"/>
      <c r="L35" s="2125"/>
    </row>
    <row r="36" spans="1:12">
      <c r="A36" s="211" t="s">
        <v>6811</v>
      </c>
      <c r="B36" s="2384"/>
      <c r="C36" s="2384"/>
      <c r="D36" s="507" t="s">
        <v>845</v>
      </c>
      <c r="E36" s="508">
        <f>ROUND(20.6*Belarus*(1-B98),2)</f>
        <v>20.6</v>
      </c>
      <c r="F36" s="508">
        <f>ROUND(26.6*Belarus*(1-B98),2)</f>
        <v>26.6</v>
      </c>
      <c r="G36" s="515" t="s">
        <v>369</v>
      </c>
      <c r="H36" s="515" t="s">
        <v>369</v>
      </c>
      <c r="I36" s="2124"/>
      <c r="J36" s="2125"/>
      <c r="K36" s="2124"/>
      <c r="L36" s="2125"/>
    </row>
    <row r="37" spans="1:12">
      <c r="A37" s="211" t="s">
        <v>6812</v>
      </c>
      <c r="B37" s="2384"/>
      <c r="C37" s="2384"/>
      <c r="D37" s="507" t="s">
        <v>845</v>
      </c>
      <c r="E37" s="508">
        <f>ROUND(22*Belarus*(1-B98),2)</f>
        <v>22</v>
      </c>
      <c r="F37" s="508">
        <f>ROUND(29*Belarus*(1-B98),2)</f>
        <v>29</v>
      </c>
      <c r="G37" s="515" t="s">
        <v>369</v>
      </c>
      <c r="H37" s="515" t="s">
        <v>369</v>
      </c>
      <c r="I37" s="2124"/>
      <c r="J37" s="2125"/>
      <c r="K37" s="2124"/>
      <c r="L37" s="2125"/>
    </row>
    <row r="38" spans="1:12" ht="12.75" customHeight="1">
      <c r="A38" s="2356" t="s">
        <v>6813</v>
      </c>
      <c r="B38" s="2357"/>
      <c r="C38" s="2357"/>
      <c r="D38" s="2357"/>
      <c r="E38" s="2357"/>
      <c r="F38" s="2357"/>
      <c r="G38" s="2357"/>
      <c r="H38" s="2358"/>
      <c r="I38" s="2124"/>
      <c r="J38" s="2125"/>
      <c r="K38" s="2124"/>
      <c r="L38" s="2125"/>
    </row>
    <row r="39" spans="1:12" ht="12.75" customHeight="1">
      <c r="A39" s="211" t="s">
        <v>6814</v>
      </c>
      <c r="B39" s="2384"/>
      <c r="C39" s="2384" t="s">
        <v>6750</v>
      </c>
      <c r="D39" s="507" t="s">
        <v>845</v>
      </c>
      <c r="E39" s="508">
        <f>ROUND(28.9*Belarus*(1-B98),2)</f>
        <v>28.9</v>
      </c>
      <c r="F39" s="508">
        <f>ROUND(35.9*Belarus*(1-B98),2)</f>
        <v>35.9</v>
      </c>
      <c r="G39" s="515" t="s">
        <v>369</v>
      </c>
      <c r="H39" s="515" t="s">
        <v>369</v>
      </c>
      <c r="I39" s="2124"/>
      <c r="J39" s="2125"/>
      <c r="K39" s="2124"/>
      <c r="L39" s="2125"/>
    </row>
    <row r="40" spans="1:12" ht="12.75" customHeight="1">
      <c r="A40" s="211" t="s">
        <v>6815</v>
      </c>
      <c r="B40" s="2384"/>
      <c r="C40" s="2384"/>
      <c r="D40" s="507" t="s">
        <v>845</v>
      </c>
      <c r="E40" s="508">
        <f>ROUND(34*Belarus*(1-B98),2)</f>
        <v>34</v>
      </c>
      <c r="F40" s="508">
        <f>ROUND(41*Belarus*(1-B98),2)</f>
        <v>41</v>
      </c>
      <c r="G40" s="515" t="s">
        <v>369</v>
      </c>
      <c r="H40" s="515" t="s">
        <v>369</v>
      </c>
      <c r="I40" s="2124"/>
      <c r="J40" s="2125"/>
      <c r="K40" s="2124"/>
      <c r="L40" s="2125"/>
    </row>
    <row r="41" spans="1:12" ht="12.75" customHeight="1">
      <c r="A41" s="211" t="s">
        <v>6816</v>
      </c>
      <c r="B41" s="2384"/>
      <c r="C41" s="2384"/>
      <c r="D41" s="507" t="s">
        <v>845</v>
      </c>
      <c r="E41" s="508">
        <f>ROUND(38.5*Belarus*(1-B98),2)</f>
        <v>38.5</v>
      </c>
      <c r="F41" s="508">
        <f>ROUND(45.5*Belarus*(1-B98),2)</f>
        <v>45.5</v>
      </c>
      <c r="G41" s="515" t="s">
        <v>369</v>
      </c>
      <c r="H41" s="515" t="s">
        <v>369</v>
      </c>
      <c r="I41" s="2124"/>
      <c r="J41" s="2125"/>
      <c r="K41" s="2124"/>
      <c r="L41" s="2125"/>
    </row>
    <row r="42" spans="1:12" ht="12.75" customHeight="1">
      <c r="A42" s="211" t="s">
        <v>6817</v>
      </c>
      <c r="B42" s="2384"/>
      <c r="C42" s="2384"/>
      <c r="D42" s="507" t="s">
        <v>845</v>
      </c>
      <c r="E42" s="508">
        <f>ROUND(43*Belarus*(1-B98),2)</f>
        <v>43</v>
      </c>
      <c r="F42" s="508">
        <f>ROUND(52*Belarus*(1-B98),2)</f>
        <v>52</v>
      </c>
      <c r="G42" s="515" t="s">
        <v>369</v>
      </c>
      <c r="H42" s="515" t="s">
        <v>369</v>
      </c>
      <c r="I42" s="2124"/>
      <c r="J42" s="2125"/>
      <c r="K42" s="2124"/>
      <c r="L42" s="2125"/>
    </row>
    <row r="43" spans="1:12" ht="12.75" customHeight="1">
      <c r="A43" s="211" t="s">
        <v>6818</v>
      </c>
      <c r="B43" s="2384"/>
      <c r="C43" s="2384"/>
      <c r="D43" s="507" t="s">
        <v>845</v>
      </c>
      <c r="E43" s="508">
        <f>ROUND(47*Belarus*(1-B98),2)</f>
        <v>47</v>
      </c>
      <c r="F43" s="508">
        <f>ROUND(57*Belarus*(1-B98),2)</f>
        <v>57</v>
      </c>
      <c r="G43" s="515" t="s">
        <v>369</v>
      </c>
      <c r="H43" s="515" t="s">
        <v>369</v>
      </c>
      <c r="I43" s="2124"/>
      <c r="J43" s="2125"/>
      <c r="K43" s="2124"/>
      <c r="L43" s="2125"/>
    </row>
    <row r="44" spans="1:12" ht="12.75" customHeight="1">
      <c r="A44" s="211" t="s">
        <v>6819</v>
      </c>
      <c r="B44" s="2384"/>
      <c r="C44" s="2384"/>
      <c r="D44" s="507" t="s">
        <v>845</v>
      </c>
      <c r="E44" s="508">
        <f>ROUND(51.5*Belarus*(1-B98),2)</f>
        <v>51.5</v>
      </c>
      <c r="F44" s="508">
        <f>ROUND(61.5*Belarus*(1-B98),2)</f>
        <v>61.5</v>
      </c>
      <c r="G44" s="515" t="s">
        <v>369</v>
      </c>
      <c r="H44" s="515" t="s">
        <v>369</v>
      </c>
      <c r="I44" s="2126"/>
      <c r="J44" s="2127"/>
      <c r="K44" s="2126"/>
      <c r="L44" s="2127"/>
    </row>
    <row r="45" spans="1:12" ht="12.75" customHeight="1">
      <c r="A45" s="2356" t="s">
        <v>2800</v>
      </c>
      <c r="B45" s="2357"/>
      <c r="C45" s="2357"/>
      <c r="D45" s="2357"/>
      <c r="E45" s="2357"/>
      <c r="F45" s="2357"/>
      <c r="G45" s="2357"/>
      <c r="H45" s="2358"/>
      <c r="I45" s="2148"/>
      <c r="J45" s="2148"/>
      <c r="K45" s="2148" t="s">
        <v>2801</v>
      </c>
      <c r="L45" s="2148"/>
    </row>
    <row r="46" spans="1:12" ht="12.75" customHeight="1">
      <c r="A46" s="211" t="s">
        <v>2802</v>
      </c>
      <c r="B46" s="507" t="s">
        <v>369</v>
      </c>
      <c r="C46" s="507" t="s">
        <v>6751</v>
      </c>
      <c r="D46" s="507" t="s">
        <v>845</v>
      </c>
      <c r="E46" s="508">
        <f>ROUND(27.5*Belarus*(1-B98),2)</f>
        <v>27.5</v>
      </c>
      <c r="F46" s="508">
        <f>ROUND(36.5*Belarus*(1-B98),2)</f>
        <v>36.5</v>
      </c>
      <c r="G46" s="516" t="s">
        <v>369</v>
      </c>
      <c r="H46" s="515" t="s">
        <v>369</v>
      </c>
      <c r="I46" s="2148"/>
      <c r="J46" s="2148"/>
      <c r="K46" s="2148"/>
      <c r="L46" s="2148"/>
    </row>
    <row r="47" spans="1:12" ht="12.75" customHeight="1">
      <c r="A47" s="211" t="s">
        <v>6565</v>
      </c>
      <c r="B47" s="507" t="s">
        <v>369</v>
      </c>
      <c r="C47" s="507" t="s">
        <v>6752</v>
      </c>
      <c r="D47" s="507" t="s">
        <v>845</v>
      </c>
      <c r="E47" s="508">
        <f>ROUND(15.5*Belarus*(1-B98),2)</f>
        <v>15.5</v>
      </c>
      <c r="F47" s="508">
        <f>ROUND(20.5*Belarus*(1-B98),2)</f>
        <v>20.5</v>
      </c>
      <c r="G47" s="516"/>
      <c r="H47" s="515" t="s">
        <v>369</v>
      </c>
      <c r="I47" s="2148"/>
      <c r="J47" s="2148"/>
      <c r="K47" s="2148"/>
      <c r="L47" s="2148"/>
    </row>
    <row r="48" spans="1:12" ht="12.75" customHeight="1">
      <c r="A48" s="2356" t="s">
        <v>6820</v>
      </c>
      <c r="B48" s="2357"/>
      <c r="C48" s="2357"/>
      <c r="D48" s="2357"/>
      <c r="E48" s="2357"/>
      <c r="F48" s="2357"/>
      <c r="G48" s="2357"/>
      <c r="H48" s="2358"/>
      <c r="I48" s="2148"/>
      <c r="J48" s="2148"/>
      <c r="K48" s="2148"/>
      <c r="L48" s="2148"/>
    </row>
    <row r="49" spans="1:12" ht="12.75" customHeight="1">
      <c r="A49" s="211" t="s">
        <v>6821</v>
      </c>
      <c r="B49" s="2384"/>
      <c r="C49" s="2384" t="s">
        <v>6753</v>
      </c>
      <c r="D49" s="507" t="s">
        <v>1096</v>
      </c>
      <c r="E49" s="508">
        <f>ROUND(71.8*Belarus*(1-B98),2)</f>
        <v>71.8</v>
      </c>
      <c r="F49" s="508">
        <f>ROUND(90.8*Belarus*(1-B98),2)</f>
        <v>90.8</v>
      </c>
      <c r="G49" s="515" t="s">
        <v>369</v>
      </c>
      <c r="H49" s="515" t="s">
        <v>369</v>
      </c>
      <c r="I49" s="2148"/>
      <c r="J49" s="2148"/>
      <c r="K49" s="2148"/>
      <c r="L49" s="2148"/>
    </row>
    <row r="50" spans="1:12" ht="12.75" customHeight="1">
      <c r="A50" s="211" t="s">
        <v>6822</v>
      </c>
      <c r="B50" s="2384"/>
      <c r="C50" s="2384"/>
      <c r="D50" s="507" t="s">
        <v>1096</v>
      </c>
      <c r="E50" s="508">
        <f>ROUND(95.8*Belarus*(1-B98),2)</f>
        <v>95.8</v>
      </c>
      <c r="F50" s="508">
        <f>ROUND(119.8*Belarus*(1-B98),2)</f>
        <v>119.8</v>
      </c>
      <c r="G50" s="515" t="s">
        <v>369</v>
      </c>
      <c r="H50" s="515" t="s">
        <v>369</v>
      </c>
      <c r="I50" s="2148"/>
      <c r="J50" s="2148"/>
      <c r="K50" s="2148"/>
      <c r="L50" s="2148"/>
    </row>
    <row r="51" spans="1:12" ht="12.75" customHeight="1">
      <c r="A51" s="2356" t="s">
        <v>6823</v>
      </c>
      <c r="B51" s="2357"/>
      <c r="C51" s="2357"/>
      <c r="D51" s="2357"/>
      <c r="E51" s="2357"/>
      <c r="F51" s="2357"/>
      <c r="G51" s="2357"/>
      <c r="H51" s="2358"/>
      <c r="I51" s="2148"/>
      <c r="J51" s="2148"/>
      <c r="K51" s="2148"/>
      <c r="L51" s="2148"/>
    </row>
    <row r="52" spans="1:12" ht="17.25" customHeight="1">
      <c r="A52" s="211" t="s">
        <v>6824</v>
      </c>
      <c r="B52" s="2384"/>
      <c r="C52" s="2384" t="s">
        <v>6754</v>
      </c>
      <c r="D52" s="507" t="s">
        <v>1096</v>
      </c>
      <c r="E52" s="508">
        <f>ROUND(109*Belarus*(1-B98),2)</f>
        <v>109</v>
      </c>
      <c r="F52" s="508">
        <f>ROUND(137*Belarus*(1-B98),2)</f>
        <v>137</v>
      </c>
      <c r="G52" s="515" t="s">
        <v>369</v>
      </c>
      <c r="H52" s="515" t="s">
        <v>369</v>
      </c>
      <c r="I52" s="2148"/>
      <c r="J52" s="2148"/>
      <c r="K52" s="2148"/>
      <c r="L52" s="2148"/>
    </row>
    <row r="53" spans="1:12" ht="17.25" customHeight="1">
      <c r="A53" s="211" t="s">
        <v>6825</v>
      </c>
      <c r="B53" s="2384"/>
      <c r="C53" s="2384"/>
      <c r="D53" s="507" t="s">
        <v>1096</v>
      </c>
      <c r="E53" s="508">
        <f>ROUND(118.6*Belarus*(1-B98),2)</f>
        <v>118.6</v>
      </c>
      <c r="F53" s="508">
        <f>ROUND(149.6*Belarus*(1-B98),2)</f>
        <v>149.6</v>
      </c>
      <c r="G53" s="515" t="s">
        <v>369</v>
      </c>
      <c r="H53" s="515" t="s">
        <v>369</v>
      </c>
      <c r="I53" s="2148"/>
      <c r="J53" s="2148"/>
      <c r="K53" s="2148"/>
      <c r="L53" s="2148"/>
    </row>
    <row r="54" spans="1:12" ht="17.25" customHeight="1">
      <c r="A54" s="211" t="s">
        <v>6826</v>
      </c>
      <c r="B54" s="2384"/>
      <c r="C54" s="2384"/>
      <c r="D54" s="507" t="s">
        <v>1096</v>
      </c>
      <c r="E54" s="508">
        <f>ROUND(136.4*Belarus*(1-B98),2)</f>
        <v>136.4</v>
      </c>
      <c r="F54" s="508">
        <f>ROUND(172.4*Belarus*(1-B98),2)</f>
        <v>172.4</v>
      </c>
      <c r="G54" s="515" t="s">
        <v>369</v>
      </c>
      <c r="H54" s="515" t="s">
        <v>369</v>
      </c>
      <c r="I54" s="2148"/>
      <c r="J54" s="2148"/>
      <c r="K54" s="2148"/>
      <c r="L54" s="2148"/>
    </row>
    <row r="55" spans="1:12" ht="18" customHeight="1">
      <c r="A55" s="211" t="s">
        <v>6827</v>
      </c>
      <c r="B55" s="2384"/>
      <c r="C55" s="2384" t="s">
        <v>6755</v>
      </c>
      <c r="D55" s="507" t="s">
        <v>1096</v>
      </c>
      <c r="E55" s="508">
        <f>ROUND(153*Belarus*(1-B98),2)</f>
        <v>153</v>
      </c>
      <c r="F55" s="508">
        <f>ROUND(189.1*Belarus*(1-B98),2)</f>
        <v>189.1</v>
      </c>
      <c r="G55" s="517" t="s">
        <v>369</v>
      </c>
      <c r="H55" s="515" t="s">
        <v>369</v>
      </c>
      <c r="I55" s="2148"/>
      <c r="J55" s="2148"/>
      <c r="K55" s="2148"/>
      <c r="L55" s="2148"/>
    </row>
    <row r="56" spans="1:12" ht="18" customHeight="1">
      <c r="A56" s="211" t="s">
        <v>6828</v>
      </c>
      <c r="B56" s="2384"/>
      <c r="C56" s="2384"/>
      <c r="D56" s="507" t="s">
        <v>1096</v>
      </c>
      <c r="E56" s="508">
        <f>ROUND(178.8*Belarus*(1-B98),2)</f>
        <v>178.8</v>
      </c>
      <c r="F56" s="508">
        <f>ROUND(218.8*Belarus*(1-B98),2)</f>
        <v>218.8</v>
      </c>
      <c r="G56" s="517"/>
      <c r="H56" s="515" t="s">
        <v>369</v>
      </c>
      <c r="I56" s="2148"/>
      <c r="J56" s="2148"/>
      <c r="K56" s="2148"/>
      <c r="L56" s="2148"/>
    </row>
    <row r="57" spans="1:12" ht="12.75" customHeight="1">
      <c r="A57" s="2356" t="s">
        <v>2803</v>
      </c>
      <c r="B57" s="2357"/>
      <c r="C57" s="2357"/>
      <c r="D57" s="2357"/>
      <c r="E57" s="2357"/>
      <c r="F57" s="2357"/>
      <c r="G57" s="2357"/>
      <c r="H57" s="2358"/>
      <c r="I57" s="2148"/>
      <c r="J57" s="2148"/>
      <c r="K57" s="2148"/>
      <c r="L57" s="2148"/>
    </row>
    <row r="58" spans="1:12" ht="18" customHeight="1">
      <c r="A58" s="211" t="s">
        <v>6829</v>
      </c>
      <c r="B58" s="2384"/>
      <c r="C58" s="2384" t="s">
        <v>6754</v>
      </c>
      <c r="D58" s="507" t="s">
        <v>1096</v>
      </c>
      <c r="E58" s="508">
        <f>ROUND(76.1*Belarus*(1-B98),2)</f>
        <v>76.099999999999994</v>
      </c>
      <c r="F58" s="508">
        <f>ROUND(94.1*Belarus*(1-B98),2)</f>
        <v>94.1</v>
      </c>
      <c r="G58" s="515" t="s">
        <v>369</v>
      </c>
      <c r="H58" s="515" t="s">
        <v>369</v>
      </c>
      <c r="I58" s="2148"/>
      <c r="J58" s="2148"/>
      <c r="K58" s="2148"/>
      <c r="L58" s="2148"/>
    </row>
    <row r="59" spans="1:12" ht="18" customHeight="1">
      <c r="A59" s="211" t="s">
        <v>6830</v>
      </c>
      <c r="B59" s="2384"/>
      <c r="C59" s="1581"/>
      <c r="D59" s="507" t="s">
        <v>1096</v>
      </c>
      <c r="E59" s="508">
        <f>ROUND(84.2*Belarus*(1-B98),2)</f>
        <v>84.2</v>
      </c>
      <c r="F59" s="508">
        <f>ROUND(102.2*Belarus*(1-B98),2)</f>
        <v>102.2</v>
      </c>
      <c r="G59" s="515" t="s">
        <v>369</v>
      </c>
      <c r="H59" s="515" t="s">
        <v>369</v>
      </c>
      <c r="I59" s="2148"/>
      <c r="J59" s="2148"/>
      <c r="K59" s="2148"/>
      <c r="L59" s="2148"/>
    </row>
    <row r="60" spans="1:12">
      <c r="A60" s="2356" t="s">
        <v>2804</v>
      </c>
      <c r="B60" s="2357"/>
      <c r="C60" s="2357"/>
      <c r="D60" s="2357"/>
      <c r="E60" s="2357"/>
      <c r="F60" s="2357"/>
      <c r="G60" s="2357"/>
      <c r="H60" s="2358"/>
      <c r="I60" s="2148"/>
      <c r="J60" s="2148"/>
      <c r="K60" s="2148"/>
      <c r="L60" s="2148"/>
    </row>
    <row r="61" spans="1:12" ht="25.5">
      <c r="A61" s="42" t="s">
        <v>6831</v>
      </c>
      <c r="B61" s="43" t="s">
        <v>369</v>
      </c>
      <c r="C61" s="518" t="s">
        <v>6832</v>
      </c>
      <c r="D61" s="163" t="s">
        <v>845</v>
      </c>
      <c r="E61" s="508">
        <f>ROUND(39.6*Belarus*(1-B98),2)</f>
        <v>39.6</v>
      </c>
      <c r="F61" s="508">
        <f>ROUND(48.6*Belarus*(1-B98),2)</f>
        <v>48.6</v>
      </c>
      <c r="G61" s="515" t="s">
        <v>369</v>
      </c>
      <c r="H61" s="515" t="s">
        <v>369</v>
      </c>
      <c r="I61" s="2148"/>
      <c r="J61" s="2148"/>
      <c r="K61" s="2148"/>
      <c r="L61" s="2148"/>
    </row>
    <row r="62" spans="1:12" ht="12.75" customHeight="1">
      <c r="A62" s="2356" t="s">
        <v>2805</v>
      </c>
      <c r="B62" s="2357"/>
      <c r="C62" s="2357"/>
      <c r="D62" s="2357"/>
      <c r="E62" s="2357"/>
      <c r="F62" s="2357"/>
      <c r="G62" s="2357"/>
      <c r="H62" s="2358"/>
      <c r="I62" s="2148"/>
      <c r="J62" s="2148"/>
      <c r="K62" s="2148"/>
      <c r="L62" s="2148"/>
    </row>
    <row r="63" spans="1:12" ht="33.75" customHeight="1">
      <c r="A63" s="211" t="s">
        <v>2806</v>
      </c>
      <c r="B63" s="507"/>
      <c r="C63" s="2384" t="s">
        <v>6756</v>
      </c>
      <c r="D63" s="507" t="s">
        <v>845</v>
      </c>
      <c r="E63" s="508">
        <f>ROUND(10.7*Belarus*(1-B98),2)</f>
        <v>10.7</v>
      </c>
      <c r="F63" s="508">
        <f>ROUND(15.9*Belarus*(1-B98),2)</f>
        <v>15.9</v>
      </c>
      <c r="G63" s="508">
        <f>ROUND(24*Belarus*(1-B98),2)</f>
        <v>24</v>
      </c>
      <c r="H63" s="508">
        <f>ROUND(29.5*Belarus*(1-B98),2)</f>
        <v>29.5</v>
      </c>
      <c r="I63" s="2148"/>
      <c r="J63" s="2148"/>
      <c r="K63" s="2148"/>
      <c r="L63" s="2148"/>
    </row>
    <row r="64" spans="1:12" ht="34.5" customHeight="1">
      <c r="A64" s="211" t="s">
        <v>2807</v>
      </c>
      <c r="B64" s="507"/>
      <c r="C64" s="2384"/>
      <c r="D64" s="507" t="s">
        <v>845</v>
      </c>
      <c r="E64" s="508">
        <f>ROUND(5.8*Belarus*(1-B98),2)</f>
        <v>5.8</v>
      </c>
      <c r="F64" s="508">
        <f>ROUND(10.2*Belarus*(1-B98),2)</f>
        <v>10.199999999999999</v>
      </c>
      <c r="G64" s="508">
        <f>ROUND(14*Belarus*(1-B98),2)</f>
        <v>14</v>
      </c>
      <c r="H64" s="508">
        <f>ROUND(19*Belarus*(1-B98),2)</f>
        <v>19</v>
      </c>
      <c r="I64" s="2148"/>
      <c r="J64" s="2148"/>
      <c r="K64" s="2148"/>
      <c r="L64" s="2148"/>
    </row>
    <row r="65" spans="1:12" ht="30.75" customHeight="1">
      <c r="A65" s="211" t="s">
        <v>2808</v>
      </c>
      <c r="B65" s="507"/>
      <c r="C65" s="2384"/>
      <c r="D65" s="507" t="s">
        <v>845</v>
      </c>
      <c r="E65" s="508">
        <f>ROUND(6.3*Belarus*(1-B98),2)</f>
        <v>6.3</v>
      </c>
      <c r="F65" s="508">
        <f>ROUND(10.7*Belarus*(1-B98),2)</f>
        <v>10.7</v>
      </c>
      <c r="G65" s="508">
        <f>ROUND(14.5*Belarus*(1-B98),2)</f>
        <v>14.5</v>
      </c>
      <c r="H65" s="508">
        <f>ROUND(19.5*Belarus*(1-B98),2)</f>
        <v>19.5</v>
      </c>
      <c r="I65" s="2148"/>
      <c r="J65" s="2148"/>
      <c r="K65" s="2148" t="s">
        <v>2809</v>
      </c>
      <c r="L65" s="2148"/>
    </row>
    <row r="66" spans="1:12" ht="19.5" customHeight="1">
      <c r="A66" s="2565" t="s">
        <v>2810</v>
      </c>
      <c r="B66" s="2565"/>
      <c r="C66" s="2565"/>
      <c r="D66" s="2565"/>
      <c r="E66" s="2565"/>
      <c r="F66" s="2565"/>
      <c r="G66" s="2565"/>
      <c r="H66" s="2565"/>
      <c r="I66" s="2148"/>
      <c r="J66" s="2148"/>
      <c r="K66" s="2148"/>
      <c r="L66" s="2148"/>
    </row>
    <row r="67" spans="1:12" ht="12.75" customHeight="1">
      <c r="A67" s="2356" t="s">
        <v>2811</v>
      </c>
      <c r="B67" s="2357"/>
      <c r="C67" s="2357"/>
      <c r="D67" s="2357"/>
      <c r="E67" s="2357"/>
      <c r="F67" s="2357"/>
      <c r="G67" s="2357"/>
      <c r="H67" s="2358"/>
      <c r="I67" s="2148"/>
      <c r="J67" s="2148"/>
      <c r="K67" s="2148"/>
      <c r="L67" s="2148"/>
    </row>
    <row r="68" spans="1:12" ht="12.75" customHeight="1">
      <c r="A68" s="1208" t="s">
        <v>2534</v>
      </c>
      <c r="B68" s="507" t="s">
        <v>369</v>
      </c>
      <c r="C68" s="2384" t="s">
        <v>6833</v>
      </c>
      <c r="D68" s="507" t="s">
        <v>845</v>
      </c>
      <c r="E68" s="508">
        <f>ROUND(1.5*Belarus*(1-B98),2)</f>
        <v>1.5</v>
      </c>
      <c r="F68" s="508" t="s">
        <v>369</v>
      </c>
      <c r="G68" s="516" t="s">
        <v>369</v>
      </c>
      <c r="H68" s="516" t="s">
        <v>369</v>
      </c>
      <c r="I68" s="2148"/>
      <c r="J68" s="2148"/>
      <c r="K68" s="2148"/>
      <c r="L68" s="2148"/>
    </row>
    <row r="69" spans="1:12" ht="15" customHeight="1">
      <c r="A69" s="1208" t="s">
        <v>6834</v>
      </c>
      <c r="B69" s="2384"/>
      <c r="C69" s="2384"/>
      <c r="D69" s="507" t="s">
        <v>845</v>
      </c>
      <c r="E69" s="508">
        <f>ROUND(4.2*Belarus*(1-B98),2)</f>
        <v>4.2</v>
      </c>
      <c r="F69" s="176" t="s">
        <v>369</v>
      </c>
      <c r="G69" s="516" t="s">
        <v>369</v>
      </c>
      <c r="H69" s="516" t="s">
        <v>369</v>
      </c>
      <c r="I69" s="2148"/>
      <c r="J69" s="2148"/>
      <c r="K69" s="2148"/>
      <c r="L69" s="2148"/>
    </row>
    <row r="70" spans="1:12" ht="15" customHeight="1">
      <c r="A70" s="1208" t="s">
        <v>6835</v>
      </c>
      <c r="B70" s="2384"/>
      <c r="C70" s="2384"/>
      <c r="D70" s="507" t="s">
        <v>845</v>
      </c>
      <c r="E70" s="508">
        <f>ROUND(8.2*Belarus*(1-B98),2)</f>
        <v>8.1999999999999993</v>
      </c>
      <c r="F70" s="176" t="s">
        <v>369</v>
      </c>
      <c r="G70" s="517" t="s">
        <v>369</v>
      </c>
      <c r="H70" s="517" t="s">
        <v>369</v>
      </c>
      <c r="I70" s="2148"/>
      <c r="J70" s="2148"/>
      <c r="K70" s="2148"/>
      <c r="L70" s="2148"/>
    </row>
    <row r="71" spans="1:12" ht="15" customHeight="1">
      <c r="A71" s="2356" t="s">
        <v>6757</v>
      </c>
      <c r="B71" s="2357"/>
      <c r="C71" s="2357"/>
      <c r="D71" s="2357"/>
      <c r="E71" s="2357"/>
      <c r="F71" s="2357"/>
      <c r="G71" s="2357"/>
      <c r="H71" s="2358"/>
      <c r="I71" s="2148"/>
      <c r="J71" s="2148"/>
      <c r="K71" s="2148"/>
      <c r="L71" s="2148"/>
    </row>
    <row r="72" spans="1:12" ht="15" customHeight="1">
      <c r="A72" s="512" t="s">
        <v>6836</v>
      </c>
      <c r="B72" s="507" t="s">
        <v>369</v>
      </c>
      <c r="C72" s="507" t="s">
        <v>6758</v>
      </c>
      <c r="D72" s="507" t="s">
        <v>3227</v>
      </c>
      <c r="E72" s="1916">
        <f>ROUND(3200*Belarus*(1-F98),2)</f>
        <v>3200</v>
      </c>
      <c r="F72" s="2566"/>
      <c r="G72" s="2566"/>
      <c r="H72" s="1917"/>
      <c r="I72" s="2148"/>
      <c r="J72" s="2148"/>
      <c r="K72" s="2148"/>
      <c r="L72" s="2148"/>
    </row>
    <row r="73" spans="1:12" ht="12.75" customHeight="1">
      <c r="A73" s="2356" t="s">
        <v>2812</v>
      </c>
      <c r="B73" s="2357"/>
      <c r="C73" s="2357"/>
      <c r="D73" s="2357"/>
      <c r="E73" s="2357"/>
      <c r="F73" s="2357"/>
      <c r="G73" s="2357"/>
      <c r="H73" s="2358"/>
      <c r="I73" s="2148"/>
      <c r="J73" s="2148"/>
      <c r="K73" s="2148"/>
      <c r="L73" s="2148"/>
    </row>
    <row r="74" spans="1:12" ht="27.75" customHeight="1">
      <c r="A74" s="512" t="s">
        <v>2813</v>
      </c>
      <c r="B74" s="132"/>
      <c r="C74" s="2559" t="s">
        <v>6759</v>
      </c>
      <c r="D74" s="507" t="s">
        <v>845</v>
      </c>
      <c r="E74" s="508">
        <f>ROUND(18*Belarus*(1-B98),2)</f>
        <v>18</v>
      </c>
      <c r="F74" s="516" t="s">
        <v>369</v>
      </c>
      <c r="G74" s="516" t="s">
        <v>369</v>
      </c>
      <c r="H74" s="516" t="s">
        <v>369</v>
      </c>
      <c r="I74" s="2148"/>
      <c r="J74" s="2148"/>
      <c r="K74" s="2148"/>
      <c r="L74" s="2148"/>
    </row>
    <row r="75" spans="1:12" ht="29.25" customHeight="1">
      <c r="A75" s="211" t="s">
        <v>6837</v>
      </c>
      <c r="B75" s="1907"/>
      <c r="C75" s="2560"/>
      <c r="D75" s="163" t="s">
        <v>845</v>
      </c>
      <c r="E75" s="508">
        <f>ROUND(25*Belarus*(1-B98),2)</f>
        <v>25</v>
      </c>
      <c r="F75" s="516" t="s">
        <v>369</v>
      </c>
      <c r="G75" s="516" t="s">
        <v>369</v>
      </c>
      <c r="H75" s="516" t="s">
        <v>369</v>
      </c>
      <c r="I75" s="2148"/>
      <c r="J75" s="2148"/>
      <c r="K75" s="2148"/>
      <c r="L75" s="2148"/>
    </row>
    <row r="76" spans="1:12" ht="29.25" customHeight="1">
      <c r="A76" s="211" t="s">
        <v>6838</v>
      </c>
      <c r="B76" s="1909"/>
      <c r="C76" s="2561"/>
      <c r="D76" s="163" t="s">
        <v>845</v>
      </c>
      <c r="E76" s="508">
        <f>ROUND(31.2*Belarus*(1-B98),2)</f>
        <v>31.2</v>
      </c>
      <c r="F76" s="516" t="s">
        <v>369</v>
      </c>
      <c r="G76" s="516" t="s">
        <v>369</v>
      </c>
      <c r="H76" s="516" t="s">
        <v>369</v>
      </c>
      <c r="I76" s="2148"/>
      <c r="J76" s="2148"/>
      <c r="K76" s="2148"/>
      <c r="L76" s="2148"/>
    </row>
    <row r="77" spans="1:12" ht="12.75" customHeight="1">
      <c r="A77" s="211" t="s">
        <v>6839</v>
      </c>
      <c r="B77" s="2559" t="s">
        <v>369</v>
      </c>
      <c r="C77" s="2384" t="s">
        <v>6760</v>
      </c>
      <c r="D77" s="507" t="s">
        <v>845</v>
      </c>
      <c r="E77" s="508">
        <f>ROUND(2.6*Belarus*(1-C98),2)</f>
        <v>2.6</v>
      </c>
      <c r="F77" s="516" t="s">
        <v>369</v>
      </c>
      <c r="G77" s="516" t="s">
        <v>369</v>
      </c>
      <c r="H77" s="516" t="s">
        <v>369</v>
      </c>
      <c r="I77" s="2148"/>
      <c r="J77" s="2148"/>
      <c r="K77" s="2148"/>
      <c r="L77" s="2148"/>
    </row>
    <row r="78" spans="1:12" ht="12.75" customHeight="1">
      <c r="A78" s="211" t="s">
        <v>6840</v>
      </c>
      <c r="B78" s="2560"/>
      <c r="C78" s="2384"/>
      <c r="D78" s="507" t="s">
        <v>845</v>
      </c>
      <c r="E78" s="508">
        <f>ROUND(6.4*Belarus*(1-C98),2)</f>
        <v>6.4</v>
      </c>
      <c r="F78" s="516" t="s">
        <v>369</v>
      </c>
      <c r="G78" s="516" t="s">
        <v>369</v>
      </c>
      <c r="H78" s="516" t="s">
        <v>369</v>
      </c>
      <c r="I78" s="2148"/>
      <c r="J78" s="2148"/>
      <c r="K78" s="2148"/>
      <c r="L78" s="2148"/>
    </row>
    <row r="79" spans="1:12" ht="12.75" customHeight="1">
      <c r="A79" s="211" t="s">
        <v>2814</v>
      </c>
      <c r="B79" s="2560"/>
      <c r="C79" s="2384"/>
      <c r="D79" s="507" t="s">
        <v>845</v>
      </c>
      <c r="E79" s="508">
        <f>ROUND(1.35*Belarus*(1-C98),2)</f>
        <v>1.35</v>
      </c>
      <c r="F79" s="516" t="s">
        <v>369</v>
      </c>
      <c r="G79" s="516" t="s">
        <v>369</v>
      </c>
      <c r="H79" s="516" t="s">
        <v>369</v>
      </c>
      <c r="I79" s="2148"/>
      <c r="J79" s="2148"/>
      <c r="K79" s="2148"/>
      <c r="L79" s="2148"/>
    </row>
    <row r="80" spans="1:12" ht="12.75" customHeight="1">
      <c r="A80" s="211" t="s">
        <v>2815</v>
      </c>
      <c r="B80" s="2560"/>
      <c r="C80" s="2384"/>
      <c r="D80" s="507" t="s">
        <v>845</v>
      </c>
      <c r="E80" s="508">
        <f>ROUND(1.53*Belarus*(1-C98),2)</f>
        <v>1.53</v>
      </c>
      <c r="F80" s="516" t="s">
        <v>369</v>
      </c>
      <c r="G80" s="516" t="s">
        <v>369</v>
      </c>
      <c r="H80" s="516" t="s">
        <v>369</v>
      </c>
      <c r="I80" s="2148"/>
      <c r="J80" s="2148"/>
      <c r="K80" s="2148"/>
      <c r="L80" s="2148"/>
    </row>
    <row r="81" spans="1:12" ht="12.75" customHeight="1">
      <c r="A81" s="211" t="s">
        <v>6305</v>
      </c>
      <c r="B81" s="2560"/>
      <c r="C81" s="2559" t="s">
        <v>6761</v>
      </c>
      <c r="D81" s="507" t="s">
        <v>845</v>
      </c>
      <c r="E81" s="508">
        <f>ROUND(4.4*Belarus*(1-D98),2)</f>
        <v>4.4000000000000004</v>
      </c>
      <c r="F81" s="516" t="s">
        <v>369</v>
      </c>
      <c r="G81" s="516" t="s">
        <v>369</v>
      </c>
      <c r="H81" s="516" t="s">
        <v>369</v>
      </c>
      <c r="I81" s="2148"/>
      <c r="J81" s="2148"/>
      <c r="K81" s="2148"/>
      <c r="L81" s="2148"/>
    </row>
    <row r="82" spans="1:12" ht="12.75" customHeight="1">
      <c r="A82" s="211" t="s">
        <v>6306</v>
      </c>
      <c r="B82" s="2560"/>
      <c r="C82" s="2560"/>
      <c r="D82" s="507" t="s">
        <v>845</v>
      </c>
      <c r="E82" s="508">
        <f>ROUND(5.1*Belarus*(1-D98),2)</f>
        <v>5.0999999999999996</v>
      </c>
      <c r="F82" s="516" t="s">
        <v>369</v>
      </c>
      <c r="G82" s="516" t="s">
        <v>369</v>
      </c>
      <c r="H82" s="516" t="s">
        <v>369</v>
      </c>
      <c r="I82" s="2148"/>
      <c r="J82" s="2148"/>
      <c r="K82" s="2148"/>
      <c r="L82" s="2148"/>
    </row>
    <row r="83" spans="1:12" ht="12.75" customHeight="1">
      <c r="A83" s="211" t="s">
        <v>6307</v>
      </c>
      <c r="B83" s="2560"/>
      <c r="C83" s="2560"/>
      <c r="D83" s="507" t="s">
        <v>845</v>
      </c>
      <c r="E83" s="508">
        <f>ROUND(6.3*Belarus*(1-D98),2)</f>
        <v>6.3</v>
      </c>
      <c r="F83" s="516" t="s">
        <v>369</v>
      </c>
      <c r="G83" s="516" t="s">
        <v>369</v>
      </c>
      <c r="H83" s="516" t="s">
        <v>369</v>
      </c>
      <c r="I83" s="2148"/>
      <c r="J83" s="2148"/>
      <c r="K83" s="2148"/>
      <c r="L83" s="2148"/>
    </row>
    <row r="84" spans="1:12" ht="12.75" customHeight="1">
      <c r="A84" s="211" t="s">
        <v>6308</v>
      </c>
      <c r="B84" s="2560"/>
      <c r="C84" s="2560"/>
      <c r="D84" s="507" t="s">
        <v>845</v>
      </c>
      <c r="E84" s="508">
        <f>ROUND(7.5*Belarus*(1-D98),2)</f>
        <v>7.5</v>
      </c>
      <c r="F84" s="516" t="s">
        <v>369</v>
      </c>
      <c r="G84" s="516" t="s">
        <v>369</v>
      </c>
      <c r="H84" s="516" t="s">
        <v>369</v>
      </c>
      <c r="I84" s="2148"/>
      <c r="J84" s="2148"/>
      <c r="K84" s="2148"/>
      <c r="L84" s="2148"/>
    </row>
    <row r="85" spans="1:12" ht="12.75" customHeight="1">
      <c r="A85" s="211" t="s">
        <v>6309</v>
      </c>
      <c r="B85" s="2560"/>
      <c r="C85" s="2560"/>
      <c r="D85" s="507" t="s">
        <v>845</v>
      </c>
      <c r="E85" s="508">
        <f>ROUND(9.1*Belarus*(1-D98),2)</f>
        <v>9.1</v>
      </c>
      <c r="F85" s="516" t="s">
        <v>369</v>
      </c>
      <c r="G85" s="516" t="s">
        <v>369</v>
      </c>
      <c r="H85" s="516" t="s">
        <v>369</v>
      </c>
      <c r="I85" s="2148"/>
      <c r="J85" s="2148"/>
      <c r="K85" s="2148"/>
      <c r="L85" s="2148"/>
    </row>
    <row r="86" spans="1:12" ht="12.75" customHeight="1">
      <c r="A86" s="211" t="s">
        <v>6310</v>
      </c>
      <c r="B86" s="2560"/>
      <c r="C86" s="2560"/>
      <c r="D86" s="507" t="s">
        <v>845</v>
      </c>
      <c r="E86" s="508">
        <f>ROUND(11.2*Belarus*(1-D98),2)</f>
        <v>11.2</v>
      </c>
      <c r="F86" s="516" t="s">
        <v>369</v>
      </c>
      <c r="G86" s="517" t="s">
        <v>369</v>
      </c>
      <c r="H86" s="517" t="s">
        <v>369</v>
      </c>
      <c r="I86" s="2148"/>
      <c r="J86" s="2148"/>
      <c r="K86" s="2148"/>
      <c r="L86" s="2148"/>
    </row>
    <row r="87" spans="1:12" ht="12.75" customHeight="1">
      <c r="A87" s="211" t="s">
        <v>6311</v>
      </c>
      <c r="B87" s="2561"/>
      <c r="C87" s="2561"/>
      <c r="D87" s="507" t="s">
        <v>845</v>
      </c>
      <c r="E87" s="508">
        <f>ROUND(14.2*Belarus*(1-D98),2)</f>
        <v>14.2</v>
      </c>
      <c r="F87" s="516" t="s">
        <v>369</v>
      </c>
      <c r="G87" s="517" t="s">
        <v>369</v>
      </c>
      <c r="H87" s="517" t="s">
        <v>369</v>
      </c>
      <c r="I87" s="2148"/>
      <c r="J87" s="2148"/>
      <c r="K87" s="2148"/>
      <c r="L87" s="2148"/>
    </row>
    <row r="88" spans="1:12" ht="12.75" customHeight="1"/>
    <row r="89" spans="1:12" ht="12.75" customHeight="1">
      <c r="A89" s="2562" t="s">
        <v>420</v>
      </c>
      <c r="B89" s="2563"/>
      <c r="C89" s="2563"/>
      <c r="D89" s="2563"/>
      <c r="E89" s="2563"/>
      <c r="F89" s="2563"/>
      <c r="G89" s="2563"/>
      <c r="H89" s="2564"/>
    </row>
    <row r="90" spans="1:12" ht="12.75" customHeight="1">
      <c r="A90" s="2558" t="s">
        <v>2816</v>
      </c>
      <c r="B90" s="2558"/>
      <c r="C90" s="2558"/>
      <c r="D90" s="2558"/>
      <c r="E90" s="2558"/>
      <c r="F90" s="2558"/>
      <c r="G90" s="2558"/>
      <c r="H90" s="2558"/>
    </row>
    <row r="91" spans="1:12" ht="12.75" customHeight="1">
      <c r="A91" s="2558" t="s">
        <v>2817</v>
      </c>
      <c r="B91" s="2558"/>
      <c r="C91" s="2558"/>
      <c r="D91" s="2558"/>
      <c r="E91" s="2558"/>
      <c r="F91" s="2558"/>
      <c r="G91" s="2558"/>
      <c r="H91" s="2558"/>
    </row>
    <row r="92" spans="1:12" ht="12.75" customHeight="1">
      <c r="A92" s="2558" t="s">
        <v>6841</v>
      </c>
      <c r="B92" s="2558"/>
      <c r="C92" s="2558"/>
      <c r="D92" s="2558"/>
      <c r="E92" s="2558"/>
      <c r="F92" s="2558"/>
      <c r="G92" s="2558"/>
      <c r="H92" s="2558"/>
    </row>
    <row r="93" spans="1:12" ht="12.75" customHeight="1">
      <c r="A93" s="2558" t="s">
        <v>6842</v>
      </c>
      <c r="B93" s="2558"/>
      <c r="C93" s="2558"/>
      <c r="D93" s="2558"/>
      <c r="E93" s="2558"/>
      <c r="F93" s="2558"/>
      <c r="G93" s="2558"/>
      <c r="H93" s="2558"/>
    </row>
    <row r="94" spans="1:12" ht="12.75" customHeight="1">
      <c r="A94" s="2558" t="s">
        <v>6843</v>
      </c>
      <c r="B94" s="2558"/>
      <c r="C94" s="2558"/>
      <c r="D94" s="2558"/>
      <c r="E94" s="2558"/>
      <c r="F94" s="2558"/>
      <c r="G94" s="2558"/>
      <c r="H94" s="2558"/>
    </row>
    <row r="95" spans="1:12" ht="12.75" customHeight="1">
      <c r="A95" s="2558" t="s">
        <v>6844</v>
      </c>
      <c r="B95" s="2558"/>
      <c r="C95" s="2558"/>
      <c r="D95" s="2558"/>
      <c r="E95" s="2558"/>
      <c r="F95" s="2558"/>
      <c r="G95" s="2558"/>
      <c r="H95" s="2558"/>
    </row>
    <row r="96" spans="1:12" ht="12.75" customHeight="1"/>
    <row r="97" spans="1:6" ht="30" customHeight="1">
      <c r="A97" s="1888" t="s">
        <v>508</v>
      </c>
      <c r="B97" s="141" t="s">
        <v>7</v>
      </c>
      <c r="C97" s="141" t="s">
        <v>2818</v>
      </c>
      <c r="D97" s="1339" t="s">
        <v>2819</v>
      </c>
      <c r="E97" s="1339"/>
      <c r="F97" s="141" t="s">
        <v>6762</v>
      </c>
    </row>
    <row r="98" spans="1:6">
      <c r="A98" s="1889"/>
      <c r="B98" s="129">
        <v>0</v>
      </c>
      <c r="C98" s="129">
        <v>0</v>
      </c>
      <c r="D98" s="1331">
        <v>0</v>
      </c>
      <c r="E98" s="1331"/>
      <c r="F98" s="129">
        <v>0</v>
      </c>
    </row>
  </sheetData>
  <sheetProtection selectLockedCells="1" selectUnlockedCells="1"/>
  <mergeCells count="88">
    <mergeCell ref="A1:D1"/>
    <mergeCell ref="A3:H3"/>
    <mergeCell ref="E5:H5"/>
    <mergeCell ref="I5:L6"/>
    <mergeCell ref="A6:H6"/>
    <mergeCell ref="B7:B13"/>
    <mergeCell ref="C7:C13"/>
    <mergeCell ref="E7:H7"/>
    <mergeCell ref="I7:J26"/>
    <mergeCell ref="K7:L26"/>
    <mergeCell ref="E8:H8"/>
    <mergeCell ref="E9:H9"/>
    <mergeCell ref="E10:H10"/>
    <mergeCell ref="E11:H11"/>
    <mergeCell ref="E12:H12"/>
    <mergeCell ref="E13:H13"/>
    <mergeCell ref="A14:H14"/>
    <mergeCell ref="B15:B18"/>
    <mergeCell ref="C15:C18"/>
    <mergeCell ref="E15:H15"/>
    <mergeCell ref="E16:H16"/>
    <mergeCell ref="E17:H17"/>
    <mergeCell ref="E18:H18"/>
    <mergeCell ref="A19:H19"/>
    <mergeCell ref="B20:B21"/>
    <mergeCell ref="C20:C21"/>
    <mergeCell ref="E20:H20"/>
    <mergeCell ref="E21:H21"/>
    <mergeCell ref="A22:H22"/>
    <mergeCell ref="B23:B24"/>
    <mergeCell ref="C23:C24"/>
    <mergeCell ref="E23:H23"/>
    <mergeCell ref="E24:H24"/>
    <mergeCell ref="A26:H26"/>
    <mergeCell ref="I27:J44"/>
    <mergeCell ref="B39:B44"/>
    <mergeCell ref="C39:C44"/>
    <mergeCell ref="K27:L44"/>
    <mergeCell ref="A28:A29"/>
    <mergeCell ref="B28:B29"/>
    <mergeCell ref="C28:C29"/>
    <mergeCell ref="D28:D29"/>
    <mergeCell ref="E28:H28"/>
    <mergeCell ref="A30:H30"/>
    <mergeCell ref="B31:B37"/>
    <mergeCell ref="C31:C37"/>
    <mergeCell ref="A38:H38"/>
    <mergeCell ref="A45:H45"/>
    <mergeCell ref="I45:J64"/>
    <mergeCell ref="K45:L64"/>
    <mergeCell ref="A48:H48"/>
    <mergeCell ref="B49:B50"/>
    <mergeCell ref="C49:C50"/>
    <mergeCell ref="A51:H51"/>
    <mergeCell ref="B52:B54"/>
    <mergeCell ref="C52:C54"/>
    <mergeCell ref="B55:B56"/>
    <mergeCell ref="C55:C56"/>
    <mergeCell ref="A57:H57"/>
    <mergeCell ref="B58:B59"/>
    <mergeCell ref="C58:C59"/>
    <mergeCell ref="A60:H60"/>
    <mergeCell ref="A62:H62"/>
    <mergeCell ref="C63:C65"/>
    <mergeCell ref="I65:J87"/>
    <mergeCell ref="K65:L87"/>
    <mergeCell ref="A66:H66"/>
    <mergeCell ref="A67:H67"/>
    <mergeCell ref="C68:C70"/>
    <mergeCell ref="B69:B70"/>
    <mergeCell ref="A71:H71"/>
    <mergeCell ref="E72:H72"/>
    <mergeCell ref="A73:H73"/>
    <mergeCell ref="C74:C76"/>
    <mergeCell ref="B75:B76"/>
    <mergeCell ref="B77:B87"/>
    <mergeCell ref="C77:C80"/>
    <mergeCell ref="C81:C87"/>
    <mergeCell ref="A89:H89"/>
    <mergeCell ref="A97:A98"/>
    <mergeCell ref="D97:E97"/>
    <mergeCell ref="D98:E98"/>
    <mergeCell ref="A90:H90"/>
    <mergeCell ref="A91:H91"/>
    <mergeCell ref="A92:H92"/>
    <mergeCell ref="A93:H93"/>
    <mergeCell ref="A94:H94"/>
    <mergeCell ref="A95:H95"/>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39"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38</oddFooter>
  </headerFooter>
  <drawing r:id="rId2"/>
  <legacyDrawingHF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00"/>
    <pageSetUpPr fitToPage="1"/>
  </sheetPr>
  <dimension ref="A1:Z129"/>
  <sheetViews>
    <sheetView zoomScale="70" zoomScaleNormal="70" workbookViewId="0">
      <selection activeCell="A2" sqref="A2:T2"/>
    </sheetView>
  </sheetViews>
  <sheetFormatPr defaultRowHeight="12.75"/>
  <cols>
    <col min="1" max="1" width="44" style="46" customWidth="1"/>
    <col min="2" max="2" width="15.42578125" style="46" customWidth="1"/>
    <col min="3" max="3" width="15.7109375" style="46" customWidth="1"/>
    <col min="4" max="4" width="11.140625" style="46" customWidth="1"/>
    <col min="5" max="5" width="12.140625" style="46" customWidth="1"/>
    <col min="6" max="6" width="12.85546875" style="46" customWidth="1"/>
    <col min="7" max="7" width="9.140625" style="46" customWidth="1"/>
    <col min="8" max="8" width="12.140625" style="46" customWidth="1"/>
    <col min="9" max="9" width="9.28515625" style="46" customWidth="1"/>
    <col min="10" max="10" width="9.5703125" style="46" customWidth="1"/>
    <col min="11" max="11" width="10.7109375" style="46" customWidth="1"/>
    <col min="12" max="12" width="17.42578125" style="46" customWidth="1"/>
    <col min="13" max="13" width="11.28515625" style="46" customWidth="1"/>
    <col min="14" max="15" width="11.42578125" style="46" customWidth="1"/>
    <col min="16" max="16" width="14.140625" style="46" customWidth="1"/>
    <col min="17" max="17" width="10" style="46" customWidth="1"/>
    <col min="18" max="18" width="10.7109375" style="46" customWidth="1"/>
    <col min="19" max="19" width="11.42578125" style="46" customWidth="1"/>
    <col min="20" max="22" width="9" style="46" customWidth="1"/>
    <col min="23" max="23" width="8.7109375" style="46" customWidth="1"/>
    <col min="24" max="24" width="8.42578125" style="46" customWidth="1"/>
    <col min="25" max="25" width="9.42578125" style="46" customWidth="1"/>
    <col min="26" max="26" width="9.140625" style="46" customWidth="1"/>
    <col min="27" max="16384" width="9.140625" style="46"/>
  </cols>
  <sheetData>
    <row r="1" spans="1:26">
      <c r="A1" s="1666" t="s">
        <v>312</v>
      </c>
      <c r="B1" s="1666"/>
      <c r="C1" s="1666"/>
      <c r="D1" s="1666"/>
    </row>
    <row r="2" spans="1:26" ht="18" customHeight="1" thickBot="1">
      <c r="A2" s="1482" t="s">
        <v>2820</v>
      </c>
      <c r="B2" s="1482"/>
      <c r="C2" s="1482"/>
      <c r="D2" s="1482"/>
      <c r="E2" s="1482"/>
      <c r="F2" s="1482"/>
      <c r="G2" s="1482"/>
      <c r="H2" s="1482"/>
      <c r="I2" s="1482"/>
      <c r="J2" s="1482"/>
      <c r="K2" s="1482"/>
      <c r="L2" s="1482"/>
      <c r="M2" s="1482"/>
      <c r="N2" s="1482"/>
      <c r="O2" s="1482"/>
      <c r="P2" s="1482"/>
      <c r="Q2" s="1482"/>
      <c r="R2" s="1482"/>
      <c r="S2" s="1482"/>
      <c r="T2" s="1482"/>
      <c r="U2" s="732"/>
      <c r="V2" s="732"/>
      <c r="W2" s="732"/>
      <c r="X2" s="748" t="s">
        <v>313</v>
      </c>
      <c r="Y2" s="2569">
        <v>43301</v>
      </c>
      <c r="Z2" s="2570"/>
    </row>
    <row r="3" spans="1:26" ht="15" customHeight="1">
      <c r="A3" s="52"/>
      <c r="B3" s="52"/>
      <c r="U3" s="56"/>
      <c r="V3" s="56"/>
      <c r="X3" s="8" t="s">
        <v>315</v>
      </c>
      <c r="Y3" s="2442">
        <v>43301</v>
      </c>
      <c r="Z3" s="2442"/>
    </row>
    <row r="4" spans="1:26" ht="13.5" customHeight="1">
      <c r="A4" s="1388" t="s">
        <v>316</v>
      </c>
      <c r="B4" s="1388" t="s">
        <v>525</v>
      </c>
      <c r="C4" s="1388" t="s">
        <v>4088</v>
      </c>
      <c r="D4" s="1491" t="s">
        <v>527</v>
      </c>
      <c r="E4" s="1491"/>
      <c r="F4" s="1491"/>
      <c r="G4" s="1491"/>
      <c r="H4" s="1491"/>
      <c r="I4" s="1491"/>
      <c r="J4" s="1491"/>
      <c r="K4" s="1491"/>
      <c r="L4" s="1491"/>
      <c r="M4" s="1491"/>
      <c r="N4" s="1491"/>
      <c r="O4" s="1491"/>
      <c r="P4" s="1491"/>
      <c r="Q4" s="1491"/>
      <c r="R4" s="1491"/>
      <c r="S4" s="1491"/>
      <c r="T4" s="1491"/>
      <c r="U4" s="1491"/>
      <c r="V4" s="1491"/>
      <c r="W4" s="1491"/>
      <c r="X4" s="1491"/>
      <c r="Y4" s="1491"/>
      <c r="Z4" s="1491"/>
    </row>
    <row r="5" spans="1:26" ht="15" customHeight="1">
      <c r="A5" s="1388"/>
      <c r="B5" s="1388"/>
      <c r="C5" s="1388"/>
      <c r="D5" s="1462" t="s">
        <v>320</v>
      </c>
      <c r="E5" s="1463"/>
      <c r="F5" s="1464"/>
      <c r="G5" s="1450" t="s">
        <v>3583</v>
      </c>
      <c r="H5" s="1503" t="s">
        <v>321</v>
      </c>
      <c r="I5" s="1586"/>
      <c r="J5" s="1586"/>
      <c r="K5" s="1504"/>
      <c r="L5" s="2365" t="s">
        <v>6293</v>
      </c>
      <c r="M5" s="2365" t="s">
        <v>323</v>
      </c>
      <c r="N5" s="2365" t="s">
        <v>620</v>
      </c>
      <c r="O5" s="2365" t="s">
        <v>5413</v>
      </c>
      <c r="P5" s="1479" t="s">
        <v>324</v>
      </c>
      <c r="Q5" s="1517"/>
      <c r="R5" s="1480"/>
      <c r="S5" s="1462" t="s">
        <v>325</v>
      </c>
      <c r="T5" s="1463"/>
      <c r="U5" s="1463"/>
      <c r="V5" s="1463"/>
      <c r="W5" s="1463"/>
      <c r="X5" s="1464"/>
      <c r="Y5" s="247" t="s">
        <v>101</v>
      </c>
      <c r="Z5" s="247" t="s">
        <v>101</v>
      </c>
    </row>
    <row r="6" spans="1:26" ht="42.75" customHeight="1">
      <c r="A6" s="1495"/>
      <c r="B6" s="1495"/>
      <c r="C6" s="1495"/>
      <c r="D6" s="58" t="s">
        <v>6575</v>
      </c>
      <c r="E6" s="58" t="s">
        <v>6576</v>
      </c>
      <c r="F6" s="58" t="s">
        <v>329</v>
      </c>
      <c r="G6" s="1451"/>
      <c r="H6" s="519" t="s">
        <v>669</v>
      </c>
      <c r="I6" s="62" t="s">
        <v>331</v>
      </c>
      <c r="J6" s="62" t="s">
        <v>332</v>
      </c>
      <c r="K6" s="62" t="s">
        <v>333</v>
      </c>
      <c r="L6" s="1660"/>
      <c r="M6" s="1660"/>
      <c r="N6" s="1660"/>
      <c r="O6" s="1660"/>
      <c r="P6" s="62" t="s">
        <v>3703</v>
      </c>
      <c r="Q6" s="107" t="s">
        <v>334</v>
      </c>
      <c r="R6" s="107" t="s">
        <v>335</v>
      </c>
      <c r="S6" s="520" t="s">
        <v>336</v>
      </c>
      <c r="T6" s="1465" t="s">
        <v>289</v>
      </c>
      <c r="U6" s="1466"/>
      <c r="V6" s="1466"/>
      <c r="W6" s="1466"/>
      <c r="X6" s="1467"/>
      <c r="Y6" s="107" t="s">
        <v>2821</v>
      </c>
      <c r="Z6" s="107" t="s">
        <v>338</v>
      </c>
    </row>
    <row r="7" spans="1:26" ht="12.75" customHeight="1">
      <c r="A7" s="1524" t="s">
        <v>340</v>
      </c>
      <c r="B7" s="1525"/>
      <c r="C7" s="1526"/>
      <c r="D7" s="193" t="s">
        <v>341</v>
      </c>
      <c r="E7" s="193" t="s">
        <v>341</v>
      </c>
      <c r="F7" s="193" t="s">
        <v>6846</v>
      </c>
      <c r="G7" s="1474" t="s">
        <v>362</v>
      </c>
      <c r="H7" s="57" t="s">
        <v>342</v>
      </c>
      <c r="I7" s="57" t="s">
        <v>342</v>
      </c>
      <c r="J7" s="57" t="s">
        <v>342</v>
      </c>
      <c r="K7" s="57" t="s">
        <v>342</v>
      </c>
      <c r="L7" s="521" t="s">
        <v>343</v>
      </c>
      <c r="M7" s="521" t="s">
        <v>341</v>
      </c>
      <c r="N7" s="521" t="s">
        <v>341</v>
      </c>
      <c r="O7" s="521" t="s">
        <v>5377</v>
      </c>
      <c r="P7" s="57" t="s">
        <v>344</v>
      </c>
      <c r="Q7" s="99" t="s">
        <v>345</v>
      </c>
      <c r="R7" s="99" t="s">
        <v>345</v>
      </c>
      <c r="S7" s="521" t="s">
        <v>345</v>
      </c>
      <c r="T7" s="1765" t="s">
        <v>346</v>
      </c>
      <c r="U7" s="1765"/>
      <c r="V7" s="1765"/>
      <c r="W7" s="1765"/>
      <c r="X7" s="1765"/>
      <c r="Y7" s="1470"/>
      <c r="Z7" s="1470"/>
    </row>
    <row r="8" spans="1:26" ht="12.75" customHeight="1">
      <c r="A8" s="1518" t="s">
        <v>529</v>
      </c>
      <c r="B8" s="1519"/>
      <c r="C8" s="1520"/>
      <c r="D8" s="522" t="s">
        <v>530</v>
      </c>
      <c r="E8" s="522" t="s">
        <v>530</v>
      </c>
      <c r="F8" s="522" t="s">
        <v>530</v>
      </c>
      <c r="G8" s="1475"/>
      <c r="H8" s="817" t="s">
        <v>531</v>
      </c>
      <c r="I8" s="817" t="s">
        <v>532</v>
      </c>
      <c r="J8" s="817" t="s">
        <v>533</v>
      </c>
      <c r="K8" s="817" t="s">
        <v>532</v>
      </c>
      <c r="L8" s="522" t="s">
        <v>534</v>
      </c>
      <c r="M8" s="522" t="s">
        <v>535</v>
      </c>
      <c r="N8" s="522" t="s">
        <v>356</v>
      </c>
      <c r="O8" s="522" t="s">
        <v>5378</v>
      </c>
      <c r="P8" s="817">
        <v>0.45</v>
      </c>
      <c r="Q8" s="817" t="s">
        <v>357</v>
      </c>
      <c r="R8" s="817" t="s">
        <v>532</v>
      </c>
      <c r="S8" s="522" t="s">
        <v>536</v>
      </c>
      <c r="T8" s="522">
        <v>0.8</v>
      </c>
      <c r="U8" s="522">
        <v>0.7</v>
      </c>
      <c r="V8" s="522" t="s">
        <v>3716</v>
      </c>
      <c r="W8" s="996" t="s">
        <v>3705</v>
      </c>
      <c r="X8" s="522">
        <v>0.4</v>
      </c>
      <c r="Y8" s="1470"/>
      <c r="Z8" s="1470"/>
    </row>
    <row r="9" spans="1:26" ht="12.75" customHeight="1">
      <c r="A9" s="1521" t="s">
        <v>537</v>
      </c>
      <c r="B9" s="1522"/>
      <c r="C9" s="1523"/>
      <c r="D9" s="195" t="s">
        <v>359</v>
      </c>
      <c r="E9" s="195" t="s">
        <v>359</v>
      </c>
      <c r="F9" s="195" t="s">
        <v>359</v>
      </c>
      <c r="G9" s="1476"/>
      <c r="H9" s="77" t="s">
        <v>4086</v>
      </c>
      <c r="I9" s="77" t="s">
        <v>360</v>
      </c>
      <c r="J9" s="77" t="s">
        <v>4087</v>
      </c>
      <c r="K9" s="77" t="s">
        <v>4087</v>
      </c>
      <c r="L9" s="195" t="s">
        <v>360</v>
      </c>
      <c r="M9" s="195" t="s">
        <v>4087</v>
      </c>
      <c r="N9" s="195" t="s">
        <v>4087</v>
      </c>
      <c r="O9" s="195" t="s">
        <v>4087</v>
      </c>
      <c r="P9" s="77" t="s">
        <v>361</v>
      </c>
      <c r="Q9" s="77" t="s">
        <v>359</v>
      </c>
      <c r="R9" s="77" t="s">
        <v>359</v>
      </c>
      <c r="S9" s="195" t="s">
        <v>361</v>
      </c>
      <c r="T9" s="195" t="s">
        <v>361</v>
      </c>
      <c r="U9" s="195" t="s">
        <v>361</v>
      </c>
      <c r="V9" s="195" t="s">
        <v>361</v>
      </c>
      <c r="W9" s="997" t="s">
        <v>361</v>
      </c>
      <c r="X9" s="195" t="s">
        <v>362</v>
      </c>
      <c r="Y9" s="194" t="s">
        <v>362</v>
      </c>
      <c r="Z9" s="77" t="s">
        <v>363</v>
      </c>
    </row>
    <row r="10" spans="1:26">
      <c r="A10" s="82" t="s">
        <v>385</v>
      </c>
      <c r="B10" s="83"/>
      <c r="C10" s="83"/>
      <c r="D10" s="83"/>
      <c r="E10" s="83"/>
      <c r="F10" s="83"/>
      <c r="G10" s="83"/>
      <c r="H10" s="83"/>
      <c r="I10" s="83"/>
      <c r="J10" s="83"/>
      <c r="K10" s="83"/>
      <c r="L10" s="83"/>
      <c r="M10" s="83"/>
      <c r="N10" s="83"/>
      <c r="O10" s="83"/>
      <c r="P10" s="83"/>
      <c r="Q10" s="83"/>
      <c r="R10" s="83"/>
      <c r="S10" s="83"/>
      <c r="T10" s="83"/>
      <c r="U10" s="83"/>
      <c r="V10" s="83"/>
      <c r="W10" s="83"/>
      <c r="X10" s="83"/>
      <c r="Y10" s="83"/>
      <c r="Z10" s="85"/>
    </row>
    <row r="11" spans="1:26" ht="12.75" customHeight="1">
      <c r="A11" s="523" t="s">
        <v>93</v>
      </c>
      <c r="B11" s="79" t="s">
        <v>2497</v>
      </c>
      <c r="C11" s="79" t="s">
        <v>387</v>
      </c>
      <c r="D11" s="100">
        <f>ROUND(PnC8_Ptdp*Belarus*(1-D100),2)</f>
        <v>688</v>
      </c>
      <c r="E11" s="100">
        <f>ROUND(PnC8_Pt*Belarus*(1-D100),2)</f>
        <v>570</v>
      </c>
      <c r="F11" s="100">
        <f>ROUND(PnC8_Sf*Belarus*(1-D100),2)</f>
        <v>597</v>
      </c>
      <c r="G11" s="100">
        <f>ROUND(PnC8_Ptdach*Belarus*(1-G100),2)</f>
        <v>484</v>
      </c>
      <c r="H11" s="90">
        <f>ROUND(PnC8_Q*Belarus*(1-H100),2)</f>
        <v>628</v>
      </c>
      <c r="I11" s="90">
        <f>ROUND(PnC8_Ql*Belarus*(1-H100),2)</f>
        <v>532</v>
      </c>
      <c r="J11" s="90">
        <f>ROUND(PnC8_Vel*Belarus*(1-H100),2)</f>
        <v>521</v>
      </c>
      <c r="K11" s="90">
        <f>ROUND(PnC8_Atl*Belarus*(1-H100),2)</f>
        <v>500</v>
      </c>
      <c r="L11" s="100">
        <f>ROUND(PnC8_Pur*Belarus*(1-L100),2)</f>
        <v>709</v>
      </c>
      <c r="M11" s="100">
        <f>ROUND(PnC8_Pdx*Belarus*(1-M100),2)</f>
        <v>471</v>
      </c>
      <c r="N11" s="100">
        <f>ROUND(PnC8_Pdxmatt*Belarus*(1-N100),2)</f>
        <v>481</v>
      </c>
      <c r="O11" s="100">
        <f>ROUND(PnC8_StBarhat*Belarus*(1-O100),2)</f>
        <v>447</v>
      </c>
      <c r="P11" s="170" t="str">
        <f>ROUND(PnC8_PtNN*Belarus*(1-P100),2)&amp;" НН"</f>
        <v>502 НН</v>
      </c>
      <c r="Q11" s="170">
        <f>ROUND(PnC8_Dr*Belarus*(1-Q100),2)</f>
        <v>382</v>
      </c>
      <c r="R11" s="170">
        <f>ROUND(PnC8_Sat*Belarus*(1-R100),2)</f>
        <v>371</v>
      </c>
      <c r="S11" s="100">
        <f>ROUND(PnC8_PEdp*Belarus*(1-S100),2)</f>
        <v>367</v>
      </c>
      <c r="T11" s="100" t="s">
        <v>369</v>
      </c>
      <c r="U11" s="100" t="s">
        <v>369</v>
      </c>
      <c r="V11" s="100" t="s">
        <v>369</v>
      </c>
      <c r="W11" s="100">
        <f>ROUND(PnC8_Pe045*Belarus*(1-W100),2)</f>
        <v>338</v>
      </c>
      <c r="X11" s="100">
        <f>ROUND(PnC8_Pe04*Belarus*(1-X100),2)</f>
        <v>314</v>
      </c>
      <c r="Y11" s="170">
        <f>ROUND(PnC8_dachPr*Belarus*(1-Y100),2)</f>
        <v>267</v>
      </c>
      <c r="Z11" s="170">
        <f>ROUND(PnC8_dachSk*Belarus*(1-Z100),2)</f>
        <v>260</v>
      </c>
    </row>
    <row r="12" spans="1:26" ht="12.75" customHeight="1">
      <c r="A12" s="97" t="s">
        <v>6849</v>
      </c>
      <c r="B12" s="1209" t="s">
        <v>6858</v>
      </c>
      <c r="C12" s="89">
        <v>2</v>
      </c>
      <c r="D12" s="100" t="s">
        <v>369</v>
      </c>
      <c r="E12" s="100" t="s">
        <v>369</v>
      </c>
      <c r="F12" s="100" t="s">
        <v>369</v>
      </c>
      <c r="G12" s="100" t="s">
        <v>369</v>
      </c>
      <c r="H12" s="90" t="s">
        <v>369</v>
      </c>
      <c r="I12" s="90" t="s">
        <v>369</v>
      </c>
      <c r="J12" s="90" t="s">
        <v>369</v>
      </c>
      <c r="K12" s="90" t="s">
        <v>369</v>
      </c>
      <c r="L12" s="100" t="s">
        <v>369</v>
      </c>
      <c r="M12" s="100" t="s">
        <v>369</v>
      </c>
      <c r="N12" s="100" t="s">
        <v>369</v>
      </c>
      <c r="O12" s="100" t="s">
        <v>369</v>
      </c>
      <c r="P12" s="170" t="s">
        <v>369</v>
      </c>
      <c r="Q12" s="170" t="s">
        <v>369</v>
      </c>
      <c r="R12" s="170" t="s">
        <v>369</v>
      </c>
      <c r="S12" s="100" t="s">
        <v>369</v>
      </c>
      <c r="T12" s="100" t="s">
        <v>369</v>
      </c>
      <c r="U12" s="100" t="s">
        <v>369</v>
      </c>
      <c r="V12" s="100" t="s">
        <v>369</v>
      </c>
      <c r="W12" s="100" t="str">
        <f>ROUND(PnC8Uno_Pe045*Belarus*(1-W100),2)&amp;" (10)"</f>
        <v>341 (10)</v>
      </c>
      <c r="X12" s="100" t="s">
        <v>369</v>
      </c>
      <c r="Y12" s="170" t="s">
        <v>369</v>
      </c>
      <c r="Z12" s="170" t="s">
        <v>369</v>
      </c>
    </row>
    <row r="13" spans="1:26">
      <c r="A13" s="86" t="s">
        <v>98</v>
      </c>
      <c r="B13" s="89" t="s">
        <v>552</v>
      </c>
      <c r="C13" s="89" t="s">
        <v>387</v>
      </c>
      <c r="D13" s="87">
        <f>ROUND(PnC10_Ptdp*Belarus*(1-D100),2)</f>
        <v>702</v>
      </c>
      <c r="E13" s="87">
        <f>ROUND(PnC10_Pt*Belarus*(1-D100),2)</f>
        <v>581</v>
      </c>
      <c r="F13" s="87">
        <f>ROUND(PnC10_Sf*Belarus*(1-D100),2)</f>
        <v>609</v>
      </c>
      <c r="G13" s="87">
        <f>ROUND(PnC10_Ptdach*Belarus*(1-G100),2)</f>
        <v>494</v>
      </c>
      <c r="H13" s="90">
        <f>ROUND(PnC10_Q*Belarus*(1-H100),2)</f>
        <v>641</v>
      </c>
      <c r="I13" s="1129">
        <f>ROUND(PnC10_Ql*Belarus*(1-H100),2)</f>
        <v>543</v>
      </c>
      <c r="J13" s="1129">
        <f>ROUND(PnC10_Vel*Belarus*(1-H100),2)</f>
        <v>532</v>
      </c>
      <c r="K13" s="90">
        <f>ROUND(PnC10_Atl*Belarus*(1-H100),2)</f>
        <v>510</v>
      </c>
      <c r="L13" s="87">
        <f>ROUND(PnC10_Pur*Belarus*(1-L100),2)</f>
        <v>723</v>
      </c>
      <c r="M13" s="87">
        <f>ROUND(PnC10_Pdx*Belarus*(1-M100),2)</f>
        <v>481</v>
      </c>
      <c r="N13" s="87">
        <f>ROUND(PnC10_Pdxmatt*Belarus*(1-N100),2)</f>
        <v>491</v>
      </c>
      <c r="O13" s="87">
        <f>ROUND(PnC10_StBarhat*Belarus*(1-O100),2)</f>
        <v>457</v>
      </c>
      <c r="P13" s="90" t="str">
        <f>ROUND(PnC10_PtNN*Belarus*(1-P100),2)&amp;" НН"</f>
        <v>513 НН</v>
      </c>
      <c r="Q13" s="90">
        <f>ROUND(PnC10_Dr*Belarus*(1-Q100),2)</f>
        <v>395</v>
      </c>
      <c r="R13" s="90">
        <f>ROUND(PnC10_Sat*Belarus*(1-R100),2)</f>
        <v>379</v>
      </c>
      <c r="S13" s="87">
        <f>ROUND(PnC10_PEdp*Belarus*(1-S100),2)</f>
        <v>372</v>
      </c>
      <c r="T13" s="87" t="s">
        <v>369</v>
      </c>
      <c r="U13" s="87" t="str">
        <f>ROUND(PnC10_Pe07*Belarus*(1-U100),2)&amp;" СПБ"</f>
        <v>519 СПБ</v>
      </c>
      <c r="V13" s="87">
        <f>ROUND(PnC10_Pe065*Belarus*(1-V100),2)</f>
        <v>502</v>
      </c>
      <c r="W13" s="87">
        <f>ROUND(PnC10_Pe045*Belarus*(1-W100),2)</f>
        <v>346</v>
      </c>
      <c r="X13" s="87">
        <f>ROUND(PnC10_Pe04*Belarus*(1-X100),2)</f>
        <v>321</v>
      </c>
      <c r="Y13" s="90">
        <f>ROUND(PnC10_dachPr*Belarus*(1-Y100),2)</f>
        <v>274</v>
      </c>
      <c r="Z13" s="170" t="s">
        <v>369</v>
      </c>
    </row>
    <row r="14" spans="1:26">
      <c r="A14" s="97" t="s">
        <v>6288</v>
      </c>
      <c r="B14" s="89" t="s">
        <v>552</v>
      </c>
      <c r="C14" s="89" t="s">
        <v>2822</v>
      </c>
      <c r="D14" s="87">
        <f>ROUND(PnC10f_Ptdp*Belarus*(1-D100),2)</f>
        <v>757</v>
      </c>
      <c r="E14" s="87">
        <f>ROUND(PnC10f_Pt*Belarus*(1-D100),2)</f>
        <v>637</v>
      </c>
      <c r="F14" s="87">
        <f>ROUND(PnC10f_Sf*Belarus*(1-D100),2)</f>
        <v>664</v>
      </c>
      <c r="G14" s="87">
        <f>ROUND(PnC10f_Ptdach*Belarus*(1-G100),2)</f>
        <v>549</v>
      </c>
      <c r="H14" s="90">
        <f>ROUND(PnC10f_Q*Belarus*(1-H100),2)</f>
        <v>696</v>
      </c>
      <c r="I14" s="1129">
        <f>ROUND(PnC10f_Ql*Belarus*(1-H100),2)</f>
        <v>598</v>
      </c>
      <c r="J14" s="1129">
        <f>ROUND(PnC10f_Vel*Belarus*(1-H100),2)</f>
        <v>587</v>
      </c>
      <c r="K14" s="90">
        <f>ROUND(PnC10f_Atl*Belarus*(1-H100),2)</f>
        <v>565</v>
      </c>
      <c r="L14" s="87">
        <f>ROUND(PnC10f_Pur*Belarus*(1-L100),2)</f>
        <v>778</v>
      </c>
      <c r="M14" s="87">
        <f>ROUND(PnC10f_Pdx*Belarus*(1-M100),2)</f>
        <v>536</v>
      </c>
      <c r="N14" s="87">
        <f>ROUND(PnC10f_Pdxmatt*Belarus*(1-N100),2)</f>
        <v>546</v>
      </c>
      <c r="O14" s="87">
        <f>ROUND(PnC10f_StBarhat*Belarus*(1-O100),2)</f>
        <v>512</v>
      </c>
      <c r="P14" s="90" t="s">
        <v>369</v>
      </c>
      <c r="Q14" s="90">
        <f>ROUND(PnC10f_Dr*Belarus*(1-Q100),2)</f>
        <v>450</v>
      </c>
      <c r="R14" s="90">
        <f>ROUND(PnC10f_Sat*Belarus*(1-R100),2)</f>
        <v>434</v>
      </c>
      <c r="S14" s="87">
        <f>ROUND(PnC10f_PEdp*Belarus*(1-S100),2)</f>
        <v>427</v>
      </c>
      <c r="T14" s="87" t="s">
        <v>369</v>
      </c>
      <c r="U14" s="87" t="s">
        <v>369</v>
      </c>
      <c r="V14" s="87" t="s">
        <v>369</v>
      </c>
      <c r="W14" s="87">
        <f>ROUND(PnC10f_Pe045*Belarus*(1-W100),2)</f>
        <v>401</v>
      </c>
      <c r="X14" s="87" t="s">
        <v>369</v>
      </c>
      <c r="Y14" s="90" t="s">
        <v>369</v>
      </c>
      <c r="Z14" s="170" t="s">
        <v>369</v>
      </c>
    </row>
    <row r="15" spans="1:26" ht="38.25">
      <c r="A15" s="86" t="s">
        <v>102</v>
      </c>
      <c r="B15" s="162" t="s">
        <v>553</v>
      </c>
      <c r="C15" s="89" t="s">
        <v>387</v>
      </c>
      <c r="D15" s="87">
        <f>ROUND(PnC20_Ptdp*Belarus*(1-D100),2)</f>
        <v>718</v>
      </c>
      <c r="E15" s="87">
        <f>ROUND(PnC20_Pt*Belarus*(1-D100),2)</f>
        <v>595</v>
      </c>
      <c r="F15" s="87">
        <f>ROUND(PnC20_Sf*Belarus*(1-D100),2)</f>
        <v>622</v>
      </c>
      <c r="G15" s="87">
        <f>ROUND(PnC20_Ptdach*Belarus*(1-G100),2)</f>
        <v>505</v>
      </c>
      <c r="H15" s="90">
        <f>ROUND(PnC20_Q*Belarus*(1-H100),2)</f>
        <v>655</v>
      </c>
      <c r="I15" s="1129">
        <f>ROUND(PnC20_Ql*Belarus*(1-H100),2)</f>
        <v>555</v>
      </c>
      <c r="J15" s="1129">
        <f>ROUND(PnC20_Vel*Belarus*(1-H100),2)</f>
        <v>544</v>
      </c>
      <c r="K15" s="90">
        <f>ROUND(PnC20_Atl*Belarus*(1-H100),2)</f>
        <v>522</v>
      </c>
      <c r="L15" s="87">
        <f>ROUND(PnC20_Pur*Belarus*(1-L100),2)</f>
        <v>740</v>
      </c>
      <c r="M15" s="87">
        <f>ROUND(PnC20_Pdx*Belarus*(1-M100),2)</f>
        <v>491</v>
      </c>
      <c r="N15" s="87">
        <f>ROUND(PnC20_Pdxmatt*Belarus*(1-N100),2)</f>
        <v>501</v>
      </c>
      <c r="O15" s="87">
        <f>ROUND(PnC20_StBarhat*Belarus*(1-O100),2)</f>
        <v>467</v>
      </c>
      <c r="P15" s="90" t="str">
        <f>ROUND(PnC20_PtNN*Belarus*(1-P100),2)&amp;" НН"</f>
        <v>524 НН</v>
      </c>
      <c r="Q15" s="90">
        <f>ROUND(PnC20_Dr*Belarus*(1-Q100),2)</f>
        <v>408</v>
      </c>
      <c r="R15" s="90">
        <f>ROUND(PnC20_Sat*Belarus*(1-R100),2)</f>
        <v>387</v>
      </c>
      <c r="S15" s="87">
        <f>ROUND(PnC20_PEdp*Belarus*(1-S100),2)</f>
        <v>384</v>
      </c>
      <c r="T15" s="87" t="s">
        <v>369</v>
      </c>
      <c r="U15" s="87">
        <f>ROUND(PnC20_Pe07*Belarus*(1-U100),2)</f>
        <v>545</v>
      </c>
      <c r="V15" s="87">
        <f>ROUND(PnC20_Pe065*Belarus*(1-V100),2)</f>
        <v>511</v>
      </c>
      <c r="W15" s="87">
        <f>ROUND(PnC20_Pe045*Belarus*(1-W100),2)</f>
        <v>353</v>
      </c>
      <c r="X15" s="87">
        <f>ROUND(PnC20_Pe04*Belarus*(1-X100),2)</f>
        <v>328</v>
      </c>
      <c r="Y15" s="90">
        <f>ROUND(PnC20_dachPr*Belarus*(1-Y100),2)</f>
        <v>279</v>
      </c>
      <c r="Z15" s="170">
        <f>ROUND(PnC20_dachSk*Belarus*(1-Z100),2)</f>
        <v>271</v>
      </c>
    </row>
    <row r="16" spans="1:26">
      <c r="A16" s="97" t="s">
        <v>106</v>
      </c>
      <c r="B16" s="89" t="s">
        <v>554</v>
      </c>
      <c r="C16" s="89" t="s">
        <v>392</v>
      </c>
      <c r="D16" s="87">
        <f>ROUND(PnC21_Ptdp*Belarus*(1-D100),2)</f>
        <v>786</v>
      </c>
      <c r="E16" s="87">
        <f>ROUND(PnC21_Pt*Belarus*(1-D100),2)</f>
        <v>651</v>
      </c>
      <c r="F16" s="87">
        <f>ROUND(PnC21_Sf*Belarus*(1-D100),2)</f>
        <v>681</v>
      </c>
      <c r="G16" s="87">
        <f>ROUND(PnC21_Ptdach*Belarus*(1-G100),2)</f>
        <v>553</v>
      </c>
      <c r="H16" s="90">
        <f>ROUND(PnC21_Q*Belarus*(1-H100),2)</f>
        <v>717</v>
      </c>
      <c r="I16" s="1129">
        <f>ROUND(PnC21_Ql*Belarus*(1-H100),2)</f>
        <v>607</v>
      </c>
      <c r="J16" s="1129">
        <f>ROUND(PnC21_Vel*Belarus*(1-H100),2)</f>
        <v>595</v>
      </c>
      <c r="K16" s="90">
        <f>ROUND(PnC21_Atl*Belarus*(1-H100),2)</f>
        <v>571</v>
      </c>
      <c r="L16" s="87">
        <f>ROUND(PnC21_Pur*Belarus*(1-L100),2)</f>
        <v>810</v>
      </c>
      <c r="M16" s="87">
        <f>ROUND(PnC21_Pdx*Belarus*(1-M100),2)</f>
        <v>538</v>
      </c>
      <c r="N16" s="87">
        <f>ROUND(PnC21_Pdxmatt*Belarus*(1-N100),2)</f>
        <v>548</v>
      </c>
      <c r="O16" s="87">
        <f>ROUND(PnC21_StBarhat*Belarus*(1-O100),2)</f>
        <v>511</v>
      </c>
      <c r="P16" s="90" t="str">
        <f>ROUND(PnC21_PtNN*Belarus*(1-P100),2)&amp;" НН"</f>
        <v>576 НН</v>
      </c>
      <c r="Q16" s="90">
        <f>ROUND(PnC21_Dr*Belarus*(1-Q100),2)</f>
        <v>446</v>
      </c>
      <c r="R16" s="90">
        <f>ROUND(PnC21_Sat*Belarus*(1-R100),2)</f>
        <v>424</v>
      </c>
      <c r="S16" s="87">
        <f>ROUND(PnC21_PEdp*Belarus*(1-S100),2)</f>
        <v>414</v>
      </c>
      <c r="T16" s="87" t="s">
        <v>369</v>
      </c>
      <c r="U16" s="87">
        <f>ROUND(PnC21_Pe07*Belarus*(1-U100),2)</f>
        <v>596</v>
      </c>
      <c r="V16" s="87">
        <f>ROUND(PnC21_Pe065*Belarus*(1-V100),2)</f>
        <v>559</v>
      </c>
      <c r="W16" s="87">
        <f>ROUND(PnC21_Pe045*Belarus*(1-W100),2)</f>
        <v>386</v>
      </c>
      <c r="X16" s="87">
        <f>ROUND(PnC21_Pe04*Belarus*(1-X100),2)</f>
        <v>359</v>
      </c>
      <c r="Y16" s="90">
        <f>ROUND(PnC21_dachPr*Belarus*(1-Y100),2)</f>
        <v>305</v>
      </c>
      <c r="Z16" s="90">
        <f>ROUND(PnC21_dachSk*Belarus*(1-Z100),2)</f>
        <v>297</v>
      </c>
    </row>
    <row r="17" spans="1:26">
      <c r="A17" s="86" t="s">
        <v>110</v>
      </c>
      <c r="B17" s="89" t="s">
        <v>555</v>
      </c>
      <c r="C17" s="89" t="s">
        <v>392</v>
      </c>
      <c r="D17" s="87">
        <f>ROUND(PnHC35_Ptdp*Belarus*(1-D100),2)</f>
        <v>785</v>
      </c>
      <c r="E17" s="87" t="str">
        <f>ROUND(PnHC35_Pt*Belarus*(1-D100),2)&amp;" СПБ"</f>
        <v>650 СПБ</v>
      </c>
      <c r="F17" s="87">
        <f>ROUND(PnHC35_Sf*Belarus*(1-D100),2)</f>
        <v>680</v>
      </c>
      <c r="G17" s="87" t="s">
        <v>369</v>
      </c>
      <c r="H17" s="90">
        <f>ROUND(PnHC35_Q*Belarus*(1-H100),2)</f>
        <v>716</v>
      </c>
      <c r="I17" s="1129">
        <f>ROUND(PnHC35_Ql*Belarus*(1-H100),2)</f>
        <v>606</v>
      </c>
      <c r="J17" s="1129">
        <f>ROUND(PnHC35_Vel*Belarus*(1-H100),2)</f>
        <v>594</v>
      </c>
      <c r="K17" s="90">
        <f>ROUND(PnHC35_Atl*Belarus*(1-H100),2)</f>
        <v>570</v>
      </c>
      <c r="L17" s="87">
        <f>ROUND(PnHC35_Pur*Belarus*(1-L100),2)</f>
        <v>809</v>
      </c>
      <c r="M17" s="87">
        <f>ROUND(PnHC35_Pdx*Belarus*(1-M100),2)</f>
        <v>537</v>
      </c>
      <c r="N17" s="87">
        <f>ROUND(PnHC35_Pdxmatt*Belarus*(1-N100),2)</f>
        <v>547</v>
      </c>
      <c r="O17" s="87">
        <f>ROUND(PnHC35_StBarhat*Belarus*(1-O100),2)</f>
        <v>510</v>
      </c>
      <c r="P17" s="90" t="s">
        <v>369</v>
      </c>
      <c r="Q17" s="90">
        <f>ROUND(PnHC35_Dr*Belarus*(1-Q100),2)</f>
        <v>445</v>
      </c>
      <c r="R17" s="90">
        <f>ROUND(PnHC35_Sat*Belarus*(1-R100),2)</f>
        <v>423</v>
      </c>
      <c r="S17" s="87">
        <f>ROUND(PnHC35_PEdp*Belarus*(1-S100),2)</f>
        <v>425</v>
      </c>
      <c r="T17" s="87">
        <f>ROUND(PnHC35_Pe08*Belarus*(1-T100),2)</f>
        <v>653</v>
      </c>
      <c r="U17" s="87">
        <f>ROUND(PnHC35_Pe07*Belarus*(1-U100),2)</f>
        <v>592</v>
      </c>
      <c r="V17" s="87">
        <f>ROUND(PnHC35_Pe065*Belarus*(1-V100),2)</f>
        <v>553</v>
      </c>
      <c r="W17" s="163" t="str">
        <f>ROUND(PnHC35_Pe045*Belarus*(1-W100),2)&amp;" СПБ"</f>
        <v>385 СПБ</v>
      </c>
      <c r="X17" s="87" t="s">
        <v>369</v>
      </c>
      <c r="Y17" s="90" t="s">
        <v>369</v>
      </c>
      <c r="Z17" s="1055" t="s">
        <v>369</v>
      </c>
    </row>
    <row r="18" spans="1:26">
      <c r="A18" s="97" t="s">
        <v>113</v>
      </c>
      <c r="B18" s="89" t="s">
        <v>2823</v>
      </c>
      <c r="C18" s="89" t="s">
        <v>392</v>
      </c>
      <c r="D18" s="87">
        <f>ROUND(PnH60_Ptdp*Belarus*(1-D100),2)</f>
        <v>915</v>
      </c>
      <c r="E18" s="87">
        <f>ROUND(PnH60_Pt*Belarus*(1-D100),2)</f>
        <v>758</v>
      </c>
      <c r="F18" s="87">
        <f>ROUND(PnH60_Sf*Belarus*(1-D100),2)</f>
        <v>794</v>
      </c>
      <c r="G18" s="87" t="s">
        <v>369</v>
      </c>
      <c r="H18" s="90">
        <f>ROUND(PnH60_Q*Belarus*(1-H100),2)</f>
        <v>835</v>
      </c>
      <c r="I18" s="1129">
        <f>ROUND(PnH60_Ql*Belarus*(1-H100),2)</f>
        <v>708</v>
      </c>
      <c r="J18" s="1129">
        <f>ROUND(PnH60_Vel*Belarus*(1-H100),2)</f>
        <v>693</v>
      </c>
      <c r="K18" s="90">
        <f>ROUND(PnH60_Atl*Belarus*(1-H100),2)</f>
        <v>665</v>
      </c>
      <c r="L18" s="87">
        <f>ROUND(PnH60_Pur*Belarus*(1-L100),2)</f>
        <v>943</v>
      </c>
      <c r="M18" s="87">
        <f>ROUND(PnH60_Pdx*Belarus*(1-M100),2)</f>
        <v>627</v>
      </c>
      <c r="N18" s="87">
        <f>ROUND(PnH60_Pdxmatt*Belarus*(1-N100),2)</f>
        <v>637</v>
      </c>
      <c r="O18" s="87">
        <f>ROUND(PnH60_StBarhat*Belarus*(1-O100),2)</f>
        <v>595</v>
      </c>
      <c r="P18" s="90" t="s">
        <v>369</v>
      </c>
      <c r="Q18" s="90" t="s">
        <v>369</v>
      </c>
      <c r="R18" s="90">
        <f>ROUND(PnH60_Sat*Belarus*(1-R100),2)</f>
        <v>494</v>
      </c>
      <c r="S18" s="87" t="s">
        <v>369</v>
      </c>
      <c r="T18" s="87">
        <f>ROUND(PnH60_Pe08*Belarus*(1-T100),2)</f>
        <v>762</v>
      </c>
      <c r="U18" s="87">
        <f>ROUND(PnH60_Pe07*Belarus*(1-U100),2)</f>
        <v>676</v>
      </c>
      <c r="V18" s="87">
        <f>ROUND(PnH60_Pe065*Belarus*(1-V100),2)</f>
        <v>649</v>
      </c>
      <c r="W18" s="87" t="s">
        <v>369</v>
      </c>
      <c r="X18" s="87" t="s">
        <v>369</v>
      </c>
      <c r="Y18" s="90" t="s">
        <v>369</v>
      </c>
      <c r="Z18" s="1055" t="s">
        <v>369</v>
      </c>
    </row>
    <row r="19" spans="1:26">
      <c r="A19" s="86" t="s">
        <v>117</v>
      </c>
      <c r="B19" s="89" t="s">
        <v>2824</v>
      </c>
      <c r="C19" s="89" t="s">
        <v>392</v>
      </c>
      <c r="D19" s="87" t="s">
        <v>369</v>
      </c>
      <c r="E19" s="87" t="s">
        <v>369</v>
      </c>
      <c r="F19" s="87" t="s">
        <v>369</v>
      </c>
      <c r="G19" s="87" t="s">
        <v>369</v>
      </c>
      <c r="H19" s="90" t="s">
        <v>369</v>
      </c>
      <c r="I19" s="90" t="s">
        <v>369</v>
      </c>
      <c r="J19" s="90" t="s">
        <v>369</v>
      </c>
      <c r="K19" s="90" t="s">
        <v>369</v>
      </c>
      <c r="L19" s="87" t="s">
        <v>369</v>
      </c>
      <c r="M19" s="87" t="s">
        <v>369</v>
      </c>
      <c r="N19" s="87" t="s">
        <v>369</v>
      </c>
      <c r="O19" s="87" t="s">
        <v>369</v>
      </c>
      <c r="P19" s="90" t="s">
        <v>369</v>
      </c>
      <c r="Q19" s="90" t="s">
        <v>369</v>
      </c>
      <c r="R19" s="90" t="s">
        <v>369</v>
      </c>
      <c r="S19" s="87" t="s">
        <v>369</v>
      </c>
      <c r="T19" s="87">
        <f>ROUND(PnH75_Pe08*Belarus*(1-T100),2)</f>
        <v>860</v>
      </c>
      <c r="U19" s="87">
        <f>ROUND(PnH75_Pe07*Belarus*(1-U100),2)</f>
        <v>762</v>
      </c>
      <c r="V19" s="87">
        <f>ROUND(PnH75_Pe065*Belarus*(1-V100),2)</f>
        <v>734</v>
      </c>
      <c r="W19" s="87" t="s">
        <v>369</v>
      </c>
      <c r="X19" s="87" t="s">
        <v>369</v>
      </c>
      <c r="Y19" s="90" t="s">
        <v>369</v>
      </c>
      <c r="Z19" s="1055" t="s">
        <v>369</v>
      </c>
    </row>
    <row r="20" spans="1:26">
      <c r="A20" s="82" t="s">
        <v>2409</v>
      </c>
      <c r="B20" s="83"/>
      <c r="C20" s="83"/>
      <c r="D20" s="83"/>
      <c r="E20" s="83"/>
      <c r="F20" s="83"/>
      <c r="G20" s="83"/>
      <c r="H20" s="83"/>
      <c r="I20" s="83"/>
      <c r="J20" s="83"/>
      <c r="K20" s="83"/>
      <c r="L20" s="83"/>
      <c r="M20" s="83"/>
      <c r="N20" s="83"/>
      <c r="O20" s="83"/>
      <c r="P20" s="83"/>
      <c r="Q20" s="83"/>
      <c r="R20" s="83"/>
      <c r="S20" s="83"/>
      <c r="T20" s="83"/>
      <c r="U20" s="83"/>
      <c r="V20" s="83"/>
      <c r="W20" s="83"/>
      <c r="X20" s="83"/>
      <c r="Y20" s="83"/>
      <c r="Z20" s="85"/>
    </row>
    <row r="21" spans="1:26" ht="25.5">
      <c r="A21" s="97" t="s">
        <v>6664</v>
      </c>
      <c r="B21" s="89" t="s">
        <v>755</v>
      </c>
      <c r="C21" s="153" t="s">
        <v>3717</v>
      </c>
      <c r="D21" s="87">
        <f>ROUND(List_Ptdp*Belarus*(1-D100),2)</f>
        <v>693</v>
      </c>
      <c r="E21" s="87">
        <f>ROUND(List_Pt*Belarus*(1-D100),2)</f>
        <v>575</v>
      </c>
      <c r="F21" s="87">
        <f>ROUND(List_Sf*Belarus*(1-D100),2)</f>
        <v>602</v>
      </c>
      <c r="G21" s="87">
        <f>ROUND(List_Ptdach*Belarus*(1-G100),2)</f>
        <v>489</v>
      </c>
      <c r="H21" s="90">
        <f>ROUND(List_Q*Belarus*(1-H100),2)</f>
        <v>645</v>
      </c>
      <c r="I21" s="90">
        <f>ROUND(List_Ql*Belarus*(1-H100),2)</f>
        <v>537</v>
      </c>
      <c r="J21" s="90" t="str">
        <f>ROUND(List_Vel*Belarus*(1-H100),2)&amp;" (2)"</f>
        <v>526 (2)</v>
      </c>
      <c r="K21" s="90">
        <f>ROUND(List_Atl*Belarus*(1-H100),2)</f>
        <v>505</v>
      </c>
      <c r="L21" s="87">
        <f>ROUND(List_Pur*Belarus*(1-L100),2)</f>
        <v>760</v>
      </c>
      <c r="M21" s="87">
        <f>ROUND(List_Pdx*Belarus*(1-M100),2)</f>
        <v>476</v>
      </c>
      <c r="N21" s="87">
        <f>ROUND(List_Pdxmatt*Belarus*(1-N100),2)</f>
        <v>486</v>
      </c>
      <c r="O21" s="87">
        <f>ROUND(List_StBarhat*Belarus*(1-O100),2)</f>
        <v>452</v>
      </c>
      <c r="P21" s="90" t="str">
        <f>ROUND(List_PtNN*Belarus*(1-P100),2)&amp;" НН"</f>
        <v>507 НН</v>
      </c>
      <c r="Q21" s="90">
        <f>ROUND(List_Dr*Belarus*(1-Q101),2)</f>
        <v>397</v>
      </c>
      <c r="R21" s="90">
        <f>ROUND(List_Sat*Belarus*(1-R101),2)</f>
        <v>376</v>
      </c>
      <c r="S21" s="87">
        <f>ROUND(List_PEdp*Belarus*(1-S101),2)</f>
        <v>367</v>
      </c>
      <c r="T21" s="87">
        <f>ROUND(List_Pe08*Belarus*(1-T101),2)</f>
        <v>573</v>
      </c>
      <c r="U21" s="87">
        <f>ROUND(List_Pe07*Belarus*(1-U101),2)</f>
        <v>508</v>
      </c>
      <c r="V21" s="87">
        <f>ROUND(List_Pe065*Belarus*(1-V101),2)</f>
        <v>481</v>
      </c>
      <c r="W21" s="87">
        <f>ROUND(List_Pe045*Belarus*(1-W101),2)</f>
        <v>338</v>
      </c>
      <c r="X21" s="87">
        <f>ROUND(List_Pe04*Belarus*(1-X101),2)</f>
        <v>310</v>
      </c>
      <c r="Y21" s="90" t="s">
        <v>369</v>
      </c>
      <c r="Z21" s="170" t="s">
        <v>369</v>
      </c>
    </row>
    <row r="22" spans="1:26">
      <c r="A22" s="82" t="s">
        <v>410</v>
      </c>
      <c r="B22" s="83"/>
      <c r="C22" s="83"/>
      <c r="D22" s="83"/>
      <c r="E22" s="83"/>
      <c r="F22" s="83"/>
      <c r="G22" s="83"/>
      <c r="H22" s="83"/>
      <c r="I22" s="83"/>
      <c r="J22" s="83"/>
      <c r="K22" s="83"/>
      <c r="L22" s="83"/>
      <c r="M22" s="83"/>
      <c r="N22" s="83"/>
      <c r="O22" s="83"/>
      <c r="P22" s="83"/>
      <c r="Q22" s="83"/>
      <c r="R22" s="83"/>
      <c r="S22" s="83"/>
      <c r="T22" s="83"/>
      <c r="U22" s="83"/>
      <c r="V22" s="83"/>
      <c r="W22" s="83"/>
      <c r="X22" s="83"/>
      <c r="Y22" s="83"/>
      <c r="Z22" s="85"/>
    </row>
    <row r="23" spans="1:26">
      <c r="A23" s="97" t="s">
        <v>2825</v>
      </c>
      <c r="B23" s="89" t="s">
        <v>2826</v>
      </c>
      <c r="C23" s="89" t="s">
        <v>413</v>
      </c>
      <c r="D23" s="87">
        <f>ROUND(Shtaket_MP_Ptdp*Belarus*(1-D102),2)</f>
        <v>168</v>
      </c>
      <c r="E23" s="87">
        <f>ROUND(Shtaket_MP_Pt*Belarus*(1-D102),2)</f>
        <v>113</v>
      </c>
      <c r="F23" s="87">
        <f>ROUND(Shtaket_MP_Sf*Belarus*(1-D102),2)</f>
        <v>115</v>
      </c>
      <c r="G23" s="87">
        <f>ROUND(Shtaket_MP_Ptdach*Belarus*(1-D102),2)</f>
        <v>95</v>
      </c>
      <c r="H23" s="90">
        <f>ROUND(Shtaket_MP_Q*Belarus*(1-D102),2)</f>
        <v>116</v>
      </c>
      <c r="I23" s="461">
        <f>ROUND(Shtaket_MP_Ql*Belarus*(1-D102),2)</f>
        <v>107</v>
      </c>
      <c r="J23" s="461">
        <f>ROUND(Shtaket_MP_Vel*Belarus*(1-D102),2)</f>
        <v>105</v>
      </c>
      <c r="K23" s="90">
        <f>ROUND(Shtaket_MP_Atl*Belarus*(1-D102),2)</f>
        <v>97</v>
      </c>
      <c r="L23" s="87">
        <f>ROUND(Shtaket_MP_Pur*Belarus*(1-D102),2)</f>
        <v>148</v>
      </c>
      <c r="M23" s="87">
        <f>ROUND(Shtaket_MP_Pdx*Belarus*(1-D102),2)</f>
        <v>99</v>
      </c>
      <c r="N23" s="87">
        <f>ROUND(Shtaket_MP_Pdxmatt*Belarus*(1-D102),2)</f>
        <v>109</v>
      </c>
      <c r="O23" s="87">
        <f>ROUND(Shtaket_MP_StBarhat*Belarus*(1-E102),2)</f>
        <v>95</v>
      </c>
      <c r="P23" s="1046" t="str">
        <f>ROUND(Shtaket_MP_PtNN*Belarus*(1-D102),2)&amp;" НН"</f>
        <v>101 НН</v>
      </c>
      <c r="Q23" s="90">
        <f>ROUND(Shtaket_MP_Dr*Belarus*(1-D102),2)</f>
        <v>82</v>
      </c>
      <c r="R23" s="90">
        <f>ROUND(Shtaket_MP_Sat*Belarus*(1-D102),2)</f>
        <v>85</v>
      </c>
      <c r="S23" s="87">
        <f>ROUND(Shtaket_MP_PEdp*Belarus*(1-D102),2)</f>
        <v>85</v>
      </c>
      <c r="T23" s="87" t="s">
        <v>369</v>
      </c>
      <c r="U23" s="87" t="s">
        <v>369</v>
      </c>
      <c r="V23" s="87" t="s">
        <v>369</v>
      </c>
      <c r="W23" s="87">
        <f>ROUND(Shtaket_MP_Pe045*Belarus*(1-D102),2)</f>
        <v>80</v>
      </c>
      <c r="X23" s="87" t="str">
        <f>ROUND(Shtaket_MP_Pe04*Belarus*(1-D102),2)&amp;" (4)"</f>
        <v>77 (4)</v>
      </c>
      <c r="Y23" s="90" t="s">
        <v>369</v>
      </c>
      <c r="Z23" s="170" t="s">
        <v>369</v>
      </c>
    </row>
    <row r="24" spans="1:26">
      <c r="A24" s="97" t="s">
        <v>2827</v>
      </c>
      <c r="B24" s="89" t="s">
        <v>2826</v>
      </c>
      <c r="C24" s="89" t="s">
        <v>413</v>
      </c>
      <c r="D24" s="87">
        <f>ROUND(Shtaket_MPf_Ptdp*Belarus*(1-D102),2)</f>
        <v>171</v>
      </c>
      <c r="E24" s="87">
        <f>ROUND(Shtaket_MPf_Pt*Belarus*(1-D102),2)</f>
        <v>116</v>
      </c>
      <c r="F24" s="87">
        <f>ROUND(Shtaket_MPf_Sf*Belarus*(1-D102),2)</f>
        <v>119</v>
      </c>
      <c r="G24" s="87">
        <f>ROUND(Shtaket_MPf_Ptdach*Belarus*(1-D102),2)</f>
        <v>98</v>
      </c>
      <c r="H24" s="90">
        <f>ROUND(Shtaket_MPf_Q*Belarus*(1-D102),2)</f>
        <v>120</v>
      </c>
      <c r="I24" s="461">
        <f>ROUND(Shtaket_MPf_Ql*Belarus*(1-D102),2)</f>
        <v>111</v>
      </c>
      <c r="J24" s="461">
        <f>ROUND(Shtaket_MPf_Vel*Belarus*(1-D102),2)</f>
        <v>109</v>
      </c>
      <c r="K24" s="90">
        <f>ROUND(Shtaket_MPf_Atl*Belarus*(1-D102),2)</f>
        <v>101</v>
      </c>
      <c r="L24" s="87">
        <f>ROUND(Shtaket_MPf_Pur*Belarus*(1-D102),2)</f>
        <v>151</v>
      </c>
      <c r="M24" s="87">
        <f>ROUND(Shtaket_MPf_Pdx*Belarus*(1-D102),2)</f>
        <v>103</v>
      </c>
      <c r="N24" s="87">
        <f>ROUND(Shtaket_MPf_Pdxmatt*Belarus*(1-D102),2)</f>
        <v>113</v>
      </c>
      <c r="O24" s="87">
        <f>ROUND(Shtaket_MPf_StBarhat*Belarus*(1-E102),2)</f>
        <v>98</v>
      </c>
      <c r="P24" s="1046" t="str">
        <f>ROUND(Shtaket_MPf_PtNN*Belarus*(1-D102),2)&amp;" НН"</f>
        <v>105 НН</v>
      </c>
      <c r="Q24" s="90">
        <f>ROUND(Shtaket_MPf_Dr*Belarus*(1-D102),2)</f>
        <v>85</v>
      </c>
      <c r="R24" s="90">
        <f>ROUND(Shtaket_MPf_Sat*Belarus*(1-D102),2)</f>
        <v>88</v>
      </c>
      <c r="S24" s="87">
        <f>ROUND(Shtaket_MPf_PEdp*Belarus*(1-D102),2)</f>
        <v>88</v>
      </c>
      <c r="T24" s="87" t="s">
        <v>369</v>
      </c>
      <c r="U24" s="87" t="s">
        <v>369</v>
      </c>
      <c r="V24" s="87" t="s">
        <v>369</v>
      </c>
      <c r="W24" s="87">
        <f>ROUND(Shtaket_MPf_Pe045*Belarus*(1-D102),2)</f>
        <v>83</v>
      </c>
      <c r="X24" s="87" t="str">
        <f>ROUND(Shtaket_MPf_Pe04*Belarus*(1-D102),2)&amp;" (4)"</f>
        <v>80 (4)</v>
      </c>
      <c r="Y24" s="90" t="s">
        <v>369</v>
      </c>
      <c r="Z24" s="170" t="s">
        <v>369</v>
      </c>
    </row>
    <row r="25" spans="1:26">
      <c r="A25" s="97" t="s">
        <v>2828</v>
      </c>
      <c r="B25" s="89" t="s">
        <v>2829</v>
      </c>
      <c r="C25" s="89" t="s">
        <v>416</v>
      </c>
      <c r="D25" s="2572" t="str">
        <f>ROUND(Shtaket_Kr_Ptdp*Belarus*(1-D102),2)&amp;" руб. в покрытии Print 0,45двс"</f>
        <v>195 руб. в покрытии Print 0,45двс</v>
      </c>
      <c r="E25" s="2573"/>
      <c r="F25" s="2574"/>
      <c r="G25" s="87" t="s">
        <v>369</v>
      </c>
      <c r="H25" s="90" t="s">
        <v>369</v>
      </c>
      <c r="I25" s="461" t="s">
        <v>369</v>
      </c>
      <c r="J25" s="461">
        <f>ROUND(Shtaket_Kr_Vel*Belarus*(1-D102),2)</f>
        <v>131</v>
      </c>
      <c r="K25" s="90" t="s">
        <v>369</v>
      </c>
      <c r="L25" s="87" t="s">
        <v>369</v>
      </c>
      <c r="M25" s="163" t="s">
        <v>369</v>
      </c>
      <c r="N25" s="163" t="s">
        <v>369</v>
      </c>
      <c r="O25" s="163" t="s">
        <v>369</v>
      </c>
      <c r="P25" s="1047" t="s">
        <v>369</v>
      </c>
      <c r="Q25" s="162" t="s">
        <v>369</v>
      </c>
      <c r="R25" s="162" t="s">
        <v>369</v>
      </c>
      <c r="S25" s="163">
        <f>ROUND(Shtaket_Kr_PEdp*Belarus*(1-D102),2)</f>
        <v>97</v>
      </c>
      <c r="T25" s="87" t="s">
        <v>369</v>
      </c>
      <c r="U25" s="87" t="s">
        <v>369</v>
      </c>
      <c r="V25" s="87" t="s">
        <v>369</v>
      </c>
      <c r="W25" s="87">
        <f>ROUND(Shtaket_Kr_Pe045*Belarus*(1-D102),2)</f>
        <v>96</v>
      </c>
      <c r="X25" s="87">
        <f>ROUND(Shtaket_Kr_Pe04*Belarus*(1-B981),2)</f>
        <v>93</v>
      </c>
      <c r="Y25" s="90" t="s">
        <v>369</v>
      </c>
      <c r="Z25" s="170" t="s">
        <v>369</v>
      </c>
    </row>
    <row r="26" spans="1:26">
      <c r="A26" s="86" t="s">
        <v>2830</v>
      </c>
      <c r="B26" s="89" t="s">
        <v>2831</v>
      </c>
      <c r="C26" s="89" t="s">
        <v>416</v>
      </c>
      <c r="D26" s="2572" t="str">
        <f>ROUND(Shtaket_Pr_Ptdp*Belarus*(1-D102),2)&amp;" руб. в покрытии Print 0,45двс"</f>
        <v>195 руб. в покрытии Print 0,45двс</v>
      </c>
      <c r="E26" s="2573"/>
      <c r="F26" s="2574"/>
      <c r="G26" s="87" t="s">
        <v>369</v>
      </c>
      <c r="H26" s="90" t="s">
        <v>369</v>
      </c>
      <c r="I26" s="90" t="s">
        <v>369</v>
      </c>
      <c r="J26" s="90">
        <f>ROUND(Shtaket_Pr_Vel*Belarus*(1-D102),2)</f>
        <v>131</v>
      </c>
      <c r="K26" s="90" t="s">
        <v>369</v>
      </c>
      <c r="L26" s="87" t="s">
        <v>369</v>
      </c>
      <c r="M26" s="87" t="s">
        <v>369</v>
      </c>
      <c r="N26" s="87" t="s">
        <v>369</v>
      </c>
      <c r="O26" s="87" t="s">
        <v>369</v>
      </c>
      <c r="P26" s="1047" t="s">
        <v>369</v>
      </c>
      <c r="Q26" s="90" t="s">
        <v>369</v>
      </c>
      <c r="R26" s="90" t="s">
        <v>369</v>
      </c>
      <c r="S26" s="163">
        <f>ROUND(Shtaket_Pr_PEdp*Belarus*(1-D102),2)</f>
        <v>97</v>
      </c>
      <c r="T26" s="87" t="s">
        <v>369</v>
      </c>
      <c r="U26" s="87" t="s">
        <v>369</v>
      </c>
      <c r="V26" s="87" t="s">
        <v>369</v>
      </c>
      <c r="W26" s="87">
        <f>ROUND(Shtaket_Pr_Pe045*Belarus*(1-D102),2)</f>
        <v>96</v>
      </c>
      <c r="X26" s="87">
        <f>ROUND(Shtaket_Pr_Pe04*Belarus*(1-D102),2)</f>
        <v>93</v>
      </c>
      <c r="Y26" s="90" t="s">
        <v>369</v>
      </c>
      <c r="Z26" s="170" t="s">
        <v>369</v>
      </c>
    </row>
    <row r="27" spans="1:26">
      <c r="A27" s="97" t="s">
        <v>2832</v>
      </c>
      <c r="B27" s="89" t="s">
        <v>2829</v>
      </c>
      <c r="C27" s="89" t="s">
        <v>416</v>
      </c>
      <c r="D27" s="2572" t="str">
        <f>ROUND(Shtaket_Krf_Ptdp*Belarus*(1-D102),2)&amp;" руб. в покрытии Print 0,45двс"</f>
        <v>199 руб. в покрытии Print 0,45двс</v>
      </c>
      <c r="E27" s="2573"/>
      <c r="F27" s="2574"/>
      <c r="G27" s="87" t="s">
        <v>369</v>
      </c>
      <c r="H27" s="90" t="s">
        <v>369</v>
      </c>
      <c r="I27" s="461" t="s">
        <v>369</v>
      </c>
      <c r="J27" s="461">
        <f>ROUND(Shtaket_Krf_Vel*Belarus*(1-D102),2)</f>
        <v>134</v>
      </c>
      <c r="K27" s="90" t="s">
        <v>369</v>
      </c>
      <c r="L27" s="87" t="s">
        <v>369</v>
      </c>
      <c r="M27" s="163" t="s">
        <v>369</v>
      </c>
      <c r="N27" s="163" t="s">
        <v>369</v>
      </c>
      <c r="O27" s="163" t="s">
        <v>369</v>
      </c>
      <c r="P27" s="1047" t="s">
        <v>369</v>
      </c>
      <c r="Q27" s="162" t="s">
        <v>369</v>
      </c>
      <c r="R27" s="162" t="s">
        <v>369</v>
      </c>
      <c r="S27" s="163">
        <f>ROUND(Shtaket_Krf_PEdp*Belarus*(1-D102),2)</f>
        <v>101</v>
      </c>
      <c r="T27" s="87" t="s">
        <v>369</v>
      </c>
      <c r="U27" s="87" t="s">
        <v>369</v>
      </c>
      <c r="V27" s="87" t="s">
        <v>369</v>
      </c>
      <c r="W27" s="87">
        <f>ROUND(Shtaket_Krf_Pe045*Belarus*(1-D102),2)</f>
        <v>100</v>
      </c>
      <c r="X27" s="87">
        <f>ROUND(Shtaket_Krf_Pe04*Belarus*(1-D102),2)</f>
        <v>97</v>
      </c>
      <c r="Y27" s="90" t="s">
        <v>369</v>
      </c>
      <c r="Z27" s="170" t="s">
        <v>369</v>
      </c>
    </row>
    <row r="28" spans="1:26">
      <c r="A28" s="86" t="s">
        <v>2833</v>
      </c>
      <c r="B28" s="89" t="s">
        <v>2831</v>
      </c>
      <c r="C28" s="89" t="s">
        <v>416</v>
      </c>
      <c r="D28" s="2572" t="str">
        <f>ROUND(Shtaket_Prf_Ptdp*Belarus*(1-D102),2)&amp;" руб. в покрытии Print 0,45двс"</f>
        <v>199 руб. в покрытии Print 0,45двс</v>
      </c>
      <c r="E28" s="2573"/>
      <c r="F28" s="2574"/>
      <c r="G28" s="87" t="s">
        <v>369</v>
      </c>
      <c r="H28" s="90" t="s">
        <v>369</v>
      </c>
      <c r="I28" s="90" t="s">
        <v>369</v>
      </c>
      <c r="J28" s="90">
        <f>ROUND(Shtaket_Prf_Vel*Belarus*(1-D102),2)</f>
        <v>134</v>
      </c>
      <c r="K28" s="90" t="s">
        <v>369</v>
      </c>
      <c r="L28" s="87" t="s">
        <v>369</v>
      </c>
      <c r="M28" s="87" t="s">
        <v>369</v>
      </c>
      <c r="N28" s="87" t="s">
        <v>369</v>
      </c>
      <c r="O28" s="87" t="s">
        <v>369</v>
      </c>
      <c r="P28" s="1047" t="s">
        <v>369</v>
      </c>
      <c r="Q28" s="90" t="s">
        <v>369</v>
      </c>
      <c r="R28" s="90" t="s">
        <v>369</v>
      </c>
      <c r="S28" s="163">
        <f>ROUND(Shtaket_Prf_PEdp*Belarus*(1-D102),2)</f>
        <v>101</v>
      </c>
      <c r="T28" s="87" t="s">
        <v>369</v>
      </c>
      <c r="U28" s="87" t="s">
        <v>369</v>
      </c>
      <c r="V28" s="87" t="s">
        <v>369</v>
      </c>
      <c r="W28" s="87">
        <f>ROUND(Shtaket_Prf_Pe045*Belarus*(1-D102),2)</f>
        <v>100</v>
      </c>
      <c r="X28" s="87">
        <f>ROUND(Shtaket_Prf_Pe04*Belarus*(1-D102),2)</f>
        <v>97</v>
      </c>
      <c r="Y28" s="90" t="s">
        <v>369</v>
      </c>
      <c r="Z28" s="170" t="s">
        <v>369</v>
      </c>
    </row>
    <row r="29" spans="1:26">
      <c r="A29" s="1452" t="s">
        <v>2834</v>
      </c>
      <c r="B29" s="1477"/>
      <c r="C29" s="1477"/>
      <c r="D29" s="1477"/>
      <c r="E29" s="1477"/>
      <c r="F29" s="1477"/>
      <c r="G29" s="1477"/>
      <c r="H29" s="1477"/>
      <c r="I29" s="1477"/>
      <c r="J29" s="1477"/>
      <c r="K29" s="1477"/>
      <c r="L29" s="1477"/>
      <c r="M29" s="1477"/>
      <c r="N29" s="1477"/>
      <c r="O29" s="1477"/>
      <c r="P29" s="1477"/>
      <c r="Q29" s="1477"/>
      <c r="R29" s="1477"/>
      <c r="S29" s="1477"/>
      <c r="T29" s="1477"/>
      <c r="U29" s="1477"/>
      <c r="V29" s="1477"/>
      <c r="W29" s="1477"/>
      <c r="X29" s="1477"/>
      <c r="Y29" s="1477"/>
      <c r="Z29" s="1478"/>
    </row>
    <row r="30" spans="1:26" ht="14.25" customHeight="1">
      <c r="A30" s="1698" t="s">
        <v>897</v>
      </c>
      <c r="B30" s="1699"/>
      <c r="C30" s="2575" t="s">
        <v>623</v>
      </c>
      <c r="D30" s="1378" t="s">
        <v>286</v>
      </c>
      <c r="E30" s="1379"/>
      <c r="F30" s="1379"/>
      <c r="G30" s="1379"/>
      <c r="H30" s="1379"/>
      <c r="I30" s="1379"/>
      <c r="J30" s="1379"/>
      <c r="K30" s="1379"/>
      <c r="L30" s="1379"/>
      <c r="M30" s="1379"/>
      <c r="N30" s="1379"/>
      <c r="O30" s="1379"/>
      <c r="P30" s="1379"/>
      <c r="Q30" s="1379"/>
      <c r="R30" s="1379"/>
      <c r="S30" s="1379"/>
      <c r="T30" s="1379"/>
      <c r="U30" s="1379"/>
      <c r="V30" s="1379"/>
      <c r="W30" s="1379"/>
      <c r="X30" s="1379"/>
      <c r="Y30" s="1379"/>
      <c r="Z30" s="1380"/>
    </row>
    <row r="31" spans="1:26" ht="25.5" customHeight="1">
      <c r="A31" s="1700"/>
      <c r="B31" s="1701"/>
      <c r="C31" s="2576"/>
      <c r="D31" s="524" t="s">
        <v>670</v>
      </c>
      <c r="E31" s="524" t="s">
        <v>668</v>
      </c>
      <c r="F31" s="524" t="s">
        <v>329</v>
      </c>
      <c r="G31" s="681" t="s">
        <v>3583</v>
      </c>
      <c r="H31" s="525" t="s">
        <v>669</v>
      </c>
      <c r="I31" s="526" t="s">
        <v>331</v>
      </c>
      <c r="J31" s="526" t="s">
        <v>332</v>
      </c>
      <c r="K31" s="526" t="s">
        <v>333</v>
      </c>
      <c r="L31" s="154" t="s">
        <v>528</v>
      </c>
      <c r="M31" s="154" t="s">
        <v>323</v>
      </c>
      <c r="N31" s="154" t="s">
        <v>620</v>
      </c>
      <c r="O31" s="1060" t="s">
        <v>5344</v>
      </c>
      <c r="P31" s="526" t="s">
        <v>2835</v>
      </c>
      <c r="Q31" s="526" t="s">
        <v>334</v>
      </c>
      <c r="R31" s="526" t="s">
        <v>2836</v>
      </c>
      <c r="S31" s="527" t="s">
        <v>336</v>
      </c>
      <c r="T31" s="527" t="s">
        <v>2837</v>
      </c>
      <c r="U31" s="1193" t="s">
        <v>2838</v>
      </c>
      <c r="V31" s="2179" t="s">
        <v>2839</v>
      </c>
      <c r="W31" s="2180"/>
      <c r="X31" s="2180"/>
      <c r="Y31" s="2180"/>
      <c r="Z31" s="2181"/>
    </row>
    <row r="32" spans="1:26" ht="12.75" customHeight="1">
      <c r="A32" s="1409" t="s">
        <v>4224</v>
      </c>
      <c r="B32" s="1692"/>
      <c r="C32" s="153" t="s">
        <v>369</v>
      </c>
      <c r="D32" s="163" t="s">
        <v>369</v>
      </c>
      <c r="E32" s="87" t="s">
        <v>369</v>
      </c>
      <c r="F32" s="87" t="s">
        <v>369</v>
      </c>
      <c r="G32" s="87" t="s">
        <v>369</v>
      </c>
      <c r="H32" s="90" t="s">
        <v>369</v>
      </c>
      <c r="I32" s="90" t="s">
        <v>369</v>
      </c>
      <c r="J32" s="90" t="s">
        <v>369</v>
      </c>
      <c r="K32" s="90" t="s">
        <v>369</v>
      </c>
      <c r="L32" s="87" t="s">
        <v>369</v>
      </c>
      <c r="M32" s="87" t="s">
        <v>369</v>
      </c>
      <c r="N32" s="88" t="s">
        <v>369</v>
      </c>
      <c r="O32" s="88" t="s">
        <v>369</v>
      </c>
      <c r="P32" s="90" t="s">
        <v>369</v>
      </c>
      <c r="Q32" s="721" t="s">
        <v>369</v>
      </c>
      <c r="R32" s="90" t="s">
        <v>369</v>
      </c>
      <c r="S32" s="87" t="s">
        <v>369</v>
      </c>
      <c r="T32" s="87" t="s">
        <v>369</v>
      </c>
      <c r="U32" s="87" t="str">
        <f>(490*Belarus)&amp;" (1)"</f>
        <v>490 (1)</v>
      </c>
      <c r="V32" s="2607"/>
      <c r="W32" s="2608"/>
      <c r="X32" s="2608"/>
      <c r="Y32" s="2608"/>
      <c r="Z32" s="2609"/>
    </row>
    <row r="33" spans="1:26">
      <c r="A33" s="2571" t="s">
        <v>2840</v>
      </c>
      <c r="B33" s="1692"/>
      <c r="C33" s="93">
        <v>80</v>
      </c>
      <c r="D33" s="163">
        <f>ROUND(140*Belarus*(1-D103),2)</f>
        <v>140</v>
      </c>
      <c r="E33" s="87">
        <f>ROUND(120*Belarus*(1-D103),2)</f>
        <v>120</v>
      </c>
      <c r="F33" s="87">
        <f>ROUND(125*Belarus*(1-D103),2)</f>
        <v>125</v>
      </c>
      <c r="G33" s="87">
        <f>E33</f>
        <v>120</v>
      </c>
      <c r="H33" s="90">
        <f>ROUND(133*Belarus*(1-D103),2)</f>
        <v>133</v>
      </c>
      <c r="I33" s="90">
        <f>ROUND(113*Belarus*(1-D103),2)</f>
        <v>113</v>
      </c>
      <c r="J33" s="90">
        <f>ROUND(108*Belarus*(1-D103),2)</f>
        <v>108</v>
      </c>
      <c r="K33" s="90">
        <f>ROUND(104*Belarus*(1-D103),2)</f>
        <v>104</v>
      </c>
      <c r="L33" s="87">
        <f>ROUND(171*Belarus*(1-D103),2)</f>
        <v>171</v>
      </c>
      <c r="M33" s="87">
        <f>ROUND(105*Belarus*(1-D103),2)</f>
        <v>105</v>
      </c>
      <c r="N33" s="87">
        <f>ROUND(107*Belarus*(1-D103),2)</f>
        <v>107</v>
      </c>
      <c r="O33" s="87">
        <f>ROUND(105*Belarus*(1-D103),2)</f>
        <v>105</v>
      </c>
      <c r="P33" s="90" t="str">
        <f>ROUND(119*Belarus*(1-D103),2)&amp;" НН"</f>
        <v>119 НН</v>
      </c>
      <c r="Q33" s="721">
        <f>ROUND(98*Belarus*(1-D103),2)</f>
        <v>98</v>
      </c>
      <c r="R33" s="90">
        <f>ROUND(93*Belarus*(1-D103),2)</f>
        <v>93</v>
      </c>
      <c r="S33" s="87">
        <f>ROUND(97*Belarus*(1-D103),2)</f>
        <v>97</v>
      </c>
      <c r="T33" s="87">
        <f>ROUND(132*Belarus*(1-D103),2)</f>
        <v>132</v>
      </c>
      <c r="U33" s="87">
        <f>R33</f>
        <v>93</v>
      </c>
      <c r="V33" s="2607"/>
      <c r="W33" s="2608"/>
      <c r="X33" s="2608"/>
      <c r="Y33" s="2608"/>
      <c r="Z33" s="2609"/>
    </row>
    <row r="34" spans="1:26">
      <c r="A34" s="1592" t="s">
        <v>2841</v>
      </c>
      <c r="B34" s="1594"/>
      <c r="C34" s="153">
        <v>89</v>
      </c>
      <c r="D34" s="163">
        <f>ROUND(149*Belarus*(1-D103),2)</f>
        <v>149</v>
      </c>
      <c r="E34" s="87">
        <f>ROUND(127*Belarus*(1-D103),2)</f>
        <v>127</v>
      </c>
      <c r="F34" s="87">
        <f>ROUND(133*Belarus*(1-D103),2)</f>
        <v>133</v>
      </c>
      <c r="G34" s="87">
        <f>E34</f>
        <v>127</v>
      </c>
      <c r="H34" s="90">
        <f>ROUND(142*Belarus*(1-D103),2)</f>
        <v>142</v>
      </c>
      <c r="I34" s="90">
        <f>ROUND(120*Belarus*(1-D103),2)</f>
        <v>120</v>
      </c>
      <c r="J34" s="90">
        <f>ROUND(115*Belarus*(1-D103),2)</f>
        <v>115</v>
      </c>
      <c r="K34" s="90">
        <f>ROUND(110*Belarus*(1-D103),2)</f>
        <v>110</v>
      </c>
      <c r="L34" s="87">
        <f>ROUND(182*Belarus*(1-D103),2)</f>
        <v>182</v>
      </c>
      <c r="M34" s="87">
        <f>ROUND(112*Belarus*(1-D103),2)</f>
        <v>112</v>
      </c>
      <c r="N34" s="87">
        <f>ROUND(114*Belarus*(1-D103),2)</f>
        <v>114</v>
      </c>
      <c r="O34" s="87">
        <f>ROUND(112*Belarus*(1-D103),2)</f>
        <v>112</v>
      </c>
      <c r="P34" s="90" t="str">
        <f>ROUND(126*Belarus*(1-D103),2)&amp;" НН"</f>
        <v>126 НН</v>
      </c>
      <c r="Q34" s="721">
        <f>ROUND(104*Belarus*(1-D103),2)</f>
        <v>104</v>
      </c>
      <c r="R34" s="90">
        <f>ROUND(99*Belarus*(1-D103),2)</f>
        <v>99</v>
      </c>
      <c r="S34" s="87">
        <f>ROUND(103*Belarus*(1-D103),2)</f>
        <v>103</v>
      </c>
      <c r="T34" s="87">
        <f>ROUND(141*Belarus*(1-D103),2)</f>
        <v>141</v>
      </c>
      <c r="U34" s="87">
        <f>R34</f>
        <v>99</v>
      </c>
      <c r="V34" s="2607"/>
      <c r="W34" s="2608"/>
      <c r="X34" s="2608"/>
      <c r="Y34" s="2608"/>
      <c r="Z34" s="2609"/>
    </row>
    <row r="35" spans="1:26">
      <c r="A35" s="1592" t="s">
        <v>4080</v>
      </c>
      <c r="B35" s="1594"/>
      <c r="C35" s="153">
        <v>83</v>
      </c>
      <c r="D35" s="163" t="s">
        <v>369</v>
      </c>
      <c r="E35" s="87">
        <f>ROUND(120*Belarus*(1-D103),2)</f>
        <v>120</v>
      </c>
      <c r="F35" s="87">
        <f>ROUND(125*Belarus*(1-D103),2)</f>
        <v>125</v>
      </c>
      <c r="G35" s="87" t="s">
        <v>369</v>
      </c>
      <c r="H35" s="90">
        <f>ROUND(133*Belarus*(1-D103),2)</f>
        <v>133</v>
      </c>
      <c r="I35" s="90">
        <f>ROUND(113*Belarus*(1-D103),2)</f>
        <v>113</v>
      </c>
      <c r="J35" s="90">
        <f>ROUND(108*Belarus*(1-D103),2)</f>
        <v>108</v>
      </c>
      <c r="K35" s="90">
        <f>ROUND(104*Belarus*(1-D103),2)</f>
        <v>104</v>
      </c>
      <c r="L35" s="87">
        <f>ROUND(171*Belarus*(1-D103),2)</f>
        <v>171</v>
      </c>
      <c r="M35" s="87">
        <f>ROUND(105*Belarus*(1-D103),2)</f>
        <v>105</v>
      </c>
      <c r="N35" s="87">
        <f>ROUND(107*Belarus*(1-D103),2)</f>
        <v>107</v>
      </c>
      <c r="O35" s="87">
        <f>ROUND(105*Belarus*(1-D103),2)</f>
        <v>105</v>
      </c>
      <c r="P35" s="90" t="s">
        <v>369</v>
      </c>
      <c r="Q35" s="721">
        <f>ROUND(98*Belarus*(1-D103),2)</f>
        <v>98</v>
      </c>
      <c r="R35" s="90">
        <f>ROUND(93*Belarus*(1-D103),2)</f>
        <v>93</v>
      </c>
      <c r="S35" s="87" t="s">
        <v>369</v>
      </c>
      <c r="T35" s="87">
        <f>ROUND(132*Belarus*(1-D103),2)</f>
        <v>132</v>
      </c>
      <c r="U35" s="87">
        <f>R35</f>
        <v>93</v>
      </c>
      <c r="V35" s="2182"/>
      <c r="W35" s="2183"/>
      <c r="X35" s="2183"/>
      <c r="Y35" s="2183"/>
      <c r="Z35" s="2184"/>
    </row>
    <row r="36" spans="1:26">
      <c r="A36" s="1452" t="s">
        <v>666</v>
      </c>
      <c r="B36" s="1477"/>
      <c r="C36" s="1477"/>
      <c r="D36" s="1477"/>
      <c r="E36" s="1477"/>
      <c r="F36" s="1477"/>
      <c r="G36" s="1477"/>
      <c r="H36" s="1477"/>
      <c r="I36" s="1477"/>
      <c r="J36" s="1477"/>
      <c r="K36" s="1477"/>
      <c r="L36" s="1477"/>
      <c r="M36" s="1477"/>
      <c r="N36" s="1477"/>
      <c r="O36" s="1477"/>
      <c r="P36" s="1477"/>
      <c r="Q36" s="1477"/>
      <c r="R36" s="1477"/>
      <c r="S36" s="1477"/>
      <c r="T36" s="1477"/>
      <c r="U36" s="1477"/>
      <c r="V36" s="1477"/>
      <c r="W36" s="1477"/>
      <c r="X36" s="1477"/>
      <c r="Y36" s="1477"/>
      <c r="Z36" s="1478"/>
    </row>
    <row r="37" spans="1:26" ht="12.75" customHeight="1">
      <c r="A37" s="1697" t="s">
        <v>307</v>
      </c>
      <c r="B37" s="1697" t="s">
        <v>667</v>
      </c>
      <c r="C37" s="1697"/>
      <c r="D37" s="1378" t="s">
        <v>286</v>
      </c>
      <c r="E37" s="1379"/>
      <c r="F37" s="1379"/>
      <c r="G37" s="1379"/>
      <c r="H37" s="1379"/>
      <c r="I37" s="1379"/>
      <c r="J37" s="1379"/>
      <c r="K37" s="1379"/>
      <c r="L37" s="1379"/>
      <c r="M37" s="1379"/>
      <c r="N37" s="1379"/>
      <c r="O37" s="1379"/>
      <c r="P37" s="1379"/>
      <c r="Q37" s="1379"/>
      <c r="R37" s="1379"/>
      <c r="S37" s="1379"/>
      <c r="T37" s="1379"/>
      <c r="U37" s="1379"/>
      <c r="V37" s="1379"/>
      <c r="W37" s="1379"/>
      <c r="X37" s="1379"/>
      <c r="Y37" s="1379"/>
      <c r="Z37" s="1380"/>
    </row>
    <row r="38" spans="1:26" ht="28.5" customHeight="1">
      <c r="A38" s="1697"/>
      <c r="B38" s="1697"/>
      <c r="C38" s="1697"/>
      <c r="D38" s="524" t="s">
        <v>670</v>
      </c>
      <c r="E38" s="524" t="s">
        <v>668</v>
      </c>
      <c r="F38" s="524" t="s">
        <v>329</v>
      </c>
      <c r="G38" s="681" t="s">
        <v>3583</v>
      </c>
      <c r="H38" s="525" t="s">
        <v>669</v>
      </c>
      <c r="I38" s="526" t="s">
        <v>331</v>
      </c>
      <c r="J38" s="526" t="s">
        <v>332</v>
      </c>
      <c r="K38" s="526" t="s">
        <v>333</v>
      </c>
      <c r="L38" s="154" t="s">
        <v>528</v>
      </c>
      <c r="M38" s="154" t="s">
        <v>323</v>
      </c>
      <c r="N38" s="154" t="s">
        <v>620</v>
      </c>
      <c r="O38" s="154" t="s">
        <v>5344</v>
      </c>
      <c r="P38" s="526" t="s">
        <v>2835</v>
      </c>
      <c r="Q38" s="526" t="s">
        <v>334</v>
      </c>
      <c r="R38" s="526" t="s">
        <v>335</v>
      </c>
      <c r="S38" s="168" t="s">
        <v>336</v>
      </c>
      <c r="T38" s="234" t="s">
        <v>671</v>
      </c>
      <c r="U38" s="464" t="s">
        <v>672</v>
      </c>
      <c r="V38" s="2578" t="s">
        <v>2842</v>
      </c>
      <c r="W38" s="2579"/>
      <c r="X38" s="2577" t="s">
        <v>2843</v>
      </c>
      <c r="Y38" s="2577"/>
      <c r="Z38" s="824" t="s">
        <v>2844</v>
      </c>
    </row>
    <row r="39" spans="1:26" ht="25.5">
      <c r="A39" s="279" t="s">
        <v>2845</v>
      </c>
      <c r="B39" s="2324">
        <v>100</v>
      </c>
      <c r="C39" s="2324"/>
      <c r="D39" s="87">
        <f>ROUND($B$39*(IF($B$39&lt;625,2280,2280*1.15)/1000)*Belarus*(1-$D$104),2)</f>
        <v>228</v>
      </c>
      <c r="E39" s="87">
        <f>ROUND($B$39*(IF($B$39&lt;625,1800,1800*1.15)/1000)*Belarus*(1-$D$104),2)</f>
        <v>180</v>
      </c>
      <c r="F39" s="87">
        <f>ROUND($B$39*(IF($B$39&lt;625,1750,1750*1.15)/1000)*Belarus*(1-$D$104),2)</f>
        <v>175</v>
      </c>
      <c r="G39" s="88">
        <f>E39</f>
        <v>180</v>
      </c>
      <c r="H39" s="721">
        <f>ROUND($B$39*(IF($B$39&lt;625,2006,2006*1.15)/1000)*Belarus*(1-$D$104),2)</f>
        <v>200.6</v>
      </c>
      <c r="I39" s="90">
        <f>ROUND($B$39*(IF($B$39&lt;625,1715,1715*1.15)/1000)*Belarus*(1-$D$104),2)</f>
        <v>171.5</v>
      </c>
      <c r="J39" s="90">
        <f>ROUND($B$39*(IF($B$39&lt;625,1597,1597*1.15)/1000)*Belarus*(1-$D$104),2)</f>
        <v>159.69999999999999</v>
      </c>
      <c r="K39" s="90">
        <f>ROUND($B$39*(IF($B$39&lt;625,1591,1591*1.15)/1000)*Belarus*(1-$D$104),2)</f>
        <v>159.1</v>
      </c>
      <c r="L39" s="87">
        <f>ROUND($B$39*(IF($B$39&lt;625,2470,2470*1.15)/1000)*Belarus*(1-$D$104),2)</f>
        <v>247</v>
      </c>
      <c r="M39" s="87">
        <f>ROUND($B$39*(IF($B$39&lt;625,1581,1581*1.15)/1000)*Belarus*(1-$D$104),2)</f>
        <v>158.1</v>
      </c>
      <c r="N39" s="87">
        <f>ROUND($B$39*(IF($B$39&lt;625,1591,1591*1.15)/1000)*Belarus*(1-$D$104),2)</f>
        <v>159.1</v>
      </c>
      <c r="O39" s="87">
        <f>ROUND($B$39*(IF($B$39&lt;625,1572,1572*1.15)/1000)*Belarus*(1-$D$104),2)</f>
        <v>157.19999999999999</v>
      </c>
      <c r="P39" s="90" t="str">
        <f>ROUND($B$39*(IF($B$39&lt;625,1700,1700*1.15)/1000)*Belarus*(1-$D$104),2)&amp;" НН"</f>
        <v>170 НН</v>
      </c>
      <c r="Q39" s="90">
        <f>ROUND($B$39*(IF($B$39&lt;625,1564,1564*1.15)/1000)*Belarus*(1-$D$104),2)</f>
        <v>156.4</v>
      </c>
      <c r="R39" s="90">
        <f>ROUND($B$39*(IF($B$39&lt;625,1553,1553*1.15)/1000)*Belarus*(1-$D$104),2)</f>
        <v>155.30000000000001</v>
      </c>
      <c r="S39" s="87">
        <f>ROUND($B$39*(IF($B$39&lt;625,1548,1548*1.15)/1000)*Belarus*(1-$D$104),2)</f>
        <v>154.80000000000001</v>
      </c>
      <c r="T39" s="87">
        <f>ROUND($B$39*(IF($B$39&lt;625,1833,1833*1.15)/1000)*Belarus*(1-$D$104),2)</f>
        <v>183.3</v>
      </c>
      <c r="U39" s="88">
        <f>R39</f>
        <v>155.30000000000001</v>
      </c>
      <c r="V39" s="1687">
        <f>ROUND($B$39*(IF($B$39&lt;625,1196,1196*1.15)/1000)*Belarus*(1-$D$104),2)</f>
        <v>119.6</v>
      </c>
      <c r="W39" s="2301"/>
      <c r="X39" s="1687">
        <f>ROUND($B$39*(IF($B$39&lt;625,1467,1467*1.15)/1000)*Belarus*(1-$D$104),2)</f>
        <v>146.69999999999999</v>
      </c>
      <c r="Y39" s="1688"/>
      <c r="Z39" s="90">
        <f>ROUND($B$39*(IF($B$39&lt;625,1807,1807*1.15)/1000)*Belarus*(1-$D$104),2)</f>
        <v>180.7</v>
      </c>
    </row>
    <row r="40" spans="1:26">
      <c r="A40" s="793" t="s">
        <v>2846</v>
      </c>
      <c r="B40" s="794"/>
      <c r="C40" s="794"/>
      <c r="D40" s="794"/>
      <c r="E40" s="794"/>
      <c r="F40" s="794"/>
      <c r="G40" s="794"/>
      <c r="H40" s="794"/>
      <c r="I40" s="794"/>
      <c r="J40" s="794"/>
      <c r="K40" s="794"/>
      <c r="L40" s="794"/>
      <c r="M40" s="794"/>
      <c r="N40" s="794"/>
      <c r="O40" s="794"/>
      <c r="P40" s="794"/>
      <c r="Q40" s="794"/>
      <c r="R40" s="794"/>
      <c r="S40" s="794"/>
      <c r="T40" s="794"/>
      <c r="U40" s="794"/>
      <c r="V40" s="794"/>
      <c r="W40" s="794"/>
      <c r="X40" s="794"/>
      <c r="Y40" s="794"/>
      <c r="Z40" s="795"/>
    </row>
    <row r="41" spans="1:26" ht="12.75" customHeight="1">
      <c r="A41" s="1697" t="s">
        <v>307</v>
      </c>
      <c r="B41" s="1697" t="s">
        <v>675</v>
      </c>
      <c r="C41" s="1697" t="s">
        <v>285</v>
      </c>
      <c r="D41" s="1378" t="s">
        <v>1494</v>
      </c>
      <c r="E41" s="1379"/>
      <c r="F41" s="1379"/>
      <c r="G41" s="1379"/>
      <c r="H41" s="1379"/>
      <c r="I41" s="1379"/>
      <c r="J41" s="1379"/>
      <c r="K41" s="1379"/>
      <c r="L41" s="1379"/>
      <c r="M41" s="1379"/>
      <c r="N41" s="1379"/>
      <c r="O41" s="1379"/>
      <c r="P41" s="1379"/>
      <c r="Q41" s="1379"/>
      <c r="R41" s="1379"/>
      <c r="S41" s="1379"/>
      <c r="T41" s="1379"/>
      <c r="U41" s="1379"/>
      <c r="V41" s="1379"/>
      <c r="W41" s="1379"/>
      <c r="X41" s="1379"/>
      <c r="Y41" s="1379"/>
      <c r="Z41" s="1380"/>
    </row>
    <row r="42" spans="1:26" ht="25.5">
      <c r="A42" s="1697"/>
      <c r="B42" s="1697"/>
      <c r="C42" s="1697"/>
      <c r="D42" s="234" t="s">
        <v>670</v>
      </c>
      <c r="E42" s="464" t="s">
        <v>668</v>
      </c>
      <c r="F42" s="234" t="s">
        <v>329</v>
      </c>
      <c r="G42" s="681" t="s">
        <v>3583</v>
      </c>
      <c r="H42" s="519" t="s">
        <v>669</v>
      </c>
      <c r="I42" s="824" t="s">
        <v>331</v>
      </c>
      <c r="J42" s="824" t="s">
        <v>332</v>
      </c>
      <c r="K42" s="824" t="s">
        <v>333</v>
      </c>
      <c r="L42" s="528" t="s">
        <v>528</v>
      </c>
      <c r="M42" s="528" t="s">
        <v>323</v>
      </c>
      <c r="N42" s="528" t="s">
        <v>620</v>
      </c>
      <c r="O42" s="154" t="s">
        <v>5344</v>
      </c>
      <c r="P42" s="526" t="s">
        <v>2835</v>
      </c>
      <c r="Q42" s="824" t="s">
        <v>334</v>
      </c>
      <c r="R42" s="824" t="s">
        <v>335</v>
      </c>
      <c r="S42" s="2580" t="s">
        <v>672</v>
      </c>
      <c r="T42" s="2581"/>
      <c r="U42" s="2582"/>
      <c r="V42" s="2577" t="s">
        <v>677</v>
      </c>
      <c r="W42" s="2577"/>
      <c r="X42" s="2577"/>
      <c r="Y42" s="2577"/>
      <c r="Z42" s="2577"/>
    </row>
    <row r="43" spans="1:26">
      <c r="A43" s="102" t="s">
        <v>2847</v>
      </c>
      <c r="B43" s="2324">
        <v>500</v>
      </c>
      <c r="C43" s="2324">
        <v>500</v>
      </c>
      <c r="D43" s="91" t="s">
        <v>369</v>
      </c>
      <c r="E43" s="88">
        <f>(B43+C43)*1430/1000*Belarus</f>
        <v>1430</v>
      </c>
      <c r="F43" s="87">
        <f>(B43+C43)*1330/1000*Belarus</f>
        <v>1330</v>
      </c>
      <c r="G43" s="87" t="s">
        <v>369</v>
      </c>
      <c r="H43" s="90">
        <f>(B43+C43)*1480/1000*Belarus</f>
        <v>1480</v>
      </c>
      <c r="I43" s="90">
        <f>(B43+C43)*1480/1000*Belarus</f>
        <v>1480</v>
      </c>
      <c r="J43" s="90">
        <f>(B43+C43)*1300/1000*Belarus</f>
        <v>1300</v>
      </c>
      <c r="K43" s="90">
        <f>(B43+C43)*1260/1000*Belarus</f>
        <v>1260</v>
      </c>
      <c r="L43" s="87">
        <f>(B43+C43)*1490/1000*Belarus</f>
        <v>1490</v>
      </c>
      <c r="M43" s="87">
        <f>(B43+C43)*1160/1000*Belarus</f>
        <v>1160</v>
      </c>
      <c r="N43" s="87">
        <f>(B43+C43)*1200/1000*Belarus</f>
        <v>1200</v>
      </c>
      <c r="O43" s="87" t="s">
        <v>369</v>
      </c>
      <c r="P43" s="721" t="s">
        <v>369</v>
      </c>
      <c r="Q43" s="90">
        <f>(B43+C43)*1050/1000*Belarus</f>
        <v>1050</v>
      </c>
      <c r="R43" s="90">
        <f>(B43+C43)*1100/1000*Belarus</f>
        <v>1100</v>
      </c>
      <c r="S43" s="1737">
        <f>(B43+C43)*1000/1000*Belarus</f>
        <v>1000</v>
      </c>
      <c r="T43" s="2583"/>
      <c r="U43" s="1738"/>
      <c r="V43" s="2584">
        <f>(B43+C43)*820/1000*Belarus</f>
        <v>820</v>
      </c>
      <c r="W43" s="2584"/>
      <c r="X43" s="2584"/>
      <c r="Y43" s="2584"/>
      <c r="Z43" s="2584"/>
    </row>
    <row r="44" spans="1:26">
      <c r="A44" s="102" t="s">
        <v>2848</v>
      </c>
      <c r="B44" s="2324"/>
      <c r="C44" s="2324"/>
      <c r="D44" s="91" t="s">
        <v>369</v>
      </c>
      <c r="E44" s="88">
        <f t="shared" ref="E44:N44" si="0">E43*1.3</f>
        <v>1859</v>
      </c>
      <c r="F44" s="87">
        <f t="shared" si="0"/>
        <v>1729</v>
      </c>
      <c r="G44" s="87" t="s">
        <v>369</v>
      </c>
      <c r="H44" s="93">
        <f t="shared" si="0"/>
        <v>1924</v>
      </c>
      <c r="I44" s="93">
        <f t="shared" si="0"/>
        <v>1924</v>
      </c>
      <c r="J44" s="90">
        <f t="shared" si="0"/>
        <v>1690</v>
      </c>
      <c r="K44" s="90">
        <f t="shared" si="0"/>
        <v>1638</v>
      </c>
      <c r="L44" s="87">
        <f t="shared" si="0"/>
        <v>1937</v>
      </c>
      <c r="M44" s="87">
        <f t="shared" si="0"/>
        <v>1508</v>
      </c>
      <c r="N44" s="87">
        <f t="shared" si="0"/>
        <v>1560</v>
      </c>
      <c r="O44" s="87" t="s">
        <v>369</v>
      </c>
      <c r="P44" s="721" t="s">
        <v>369</v>
      </c>
      <c r="Q44" s="90">
        <f>Q43*1.3</f>
        <v>1365</v>
      </c>
      <c r="R44" s="90">
        <f>R43*1.3</f>
        <v>1430</v>
      </c>
      <c r="S44" s="1737">
        <f>S43*1.3</f>
        <v>1300</v>
      </c>
      <c r="T44" s="2583"/>
      <c r="U44" s="1738"/>
      <c r="V44" s="2584">
        <f>V43*1.3</f>
        <v>1066</v>
      </c>
      <c r="W44" s="2584"/>
      <c r="X44" s="2584"/>
      <c r="Y44" s="2584"/>
      <c r="Z44" s="2584"/>
    </row>
    <row r="45" spans="1:26">
      <c r="A45" s="102" t="s">
        <v>2849</v>
      </c>
      <c r="B45" s="2324"/>
      <c r="C45" s="2324"/>
      <c r="D45" s="91" t="s">
        <v>369</v>
      </c>
      <c r="E45" s="88">
        <f t="shared" ref="E45:N45" si="1">E43*1.5</f>
        <v>2145</v>
      </c>
      <c r="F45" s="87">
        <f t="shared" si="1"/>
        <v>1995</v>
      </c>
      <c r="G45" s="87" t="s">
        <v>369</v>
      </c>
      <c r="H45" s="93">
        <f t="shared" si="1"/>
        <v>2220</v>
      </c>
      <c r="I45" s="93">
        <f t="shared" si="1"/>
        <v>2220</v>
      </c>
      <c r="J45" s="90">
        <f t="shared" si="1"/>
        <v>1950</v>
      </c>
      <c r="K45" s="90">
        <f t="shared" si="1"/>
        <v>1890</v>
      </c>
      <c r="L45" s="87">
        <f t="shared" si="1"/>
        <v>2235</v>
      </c>
      <c r="M45" s="87">
        <f t="shared" si="1"/>
        <v>1740</v>
      </c>
      <c r="N45" s="87">
        <f t="shared" si="1"/>
        <v>1800</v>
      </c>
      <c r="O45" s="87" t="s">
        <v>369</v>
      </c>
      <c r="P45" s="721" t="s">
        <v>369</v>
      </c>
      <c r="Q45" s="90">
        <f>Q43*1.5</f>
        <v>1575</v>
      </c>
      <c r="R45" s="90">
        <f>R43*1.5</f>
        <v>1650</v>
      </c>
      <c r="S45" s="1737">
        <f>S43*1.5</f>
        <v>1500</v>
      </c>
      <c r="T45" s="2583"/>
      <c r="U45" s="1738"/>
      <c r="V45" s="2584">
        <f>V43*1.5</f>
        <v>1230</v>
      </c>
      <c r="W45" s="2584"/>
      <c r="X45" s="2584"/>
      <c r="Y45" s="2584"/>
      <c r="Z45" s="2584"/>
    </row>
    <row r="46" spans="1:26" ht="11.25" customHeight="1">
      <c r="A46" s="1427" t="s">
        <v>2850</v>
      </c>
      <c r="B46" s="1427"/>
      <c r="C46" s="1427"/>
      <c r="D46" s="1427"/>
      <c r="E46" s="1427"/>
      <c r="F46" s="1427"/>
      <c r="G46" s="1427"/>
      <c r="H46" s="1427"/>
      <c r="I46" s="1427"/>
      <c r="J46" s="1427"/>
      <c r="K46" s="1427"/>
      <c r="L46" s="1427"/>
      <c r="M46" s="1427"/>
      <c r="N46" s="1427"/>
      <c r="O46" s="1427"/>
      <c r="P46" s="1427"/>
      <c r="Q46" s="1427"/>
      <c r="R46" s="1427"/>
      <c r="S46" s="1427"/>
      <c r="T46" s="1427"/>
      <c r="U46" s="1427"/>
      <c r="V46" s="1427"/>
      <c r="W46" s="1427"/>
      <c r="X46" s="1427"/>
      <c r="Y46" s="1427"/>
      <c r="Z46" s="1427"/>
    </row>
    <row r="47" spans="1:26" ht="27" customHeight="1">
      <c r="A47" s="1427" t="s">
        <v>2851</v>
      </c>
      <c r="B47" s="1427"/>
      <c r="C47" s="1427"/>
      <c r="D47" s="1427"/>
      <c r="E47" s="1427"/>
      <c r="F47" s="1427"/>
      <c r="G47" s="1427"/>
      <c r="H47" s="1427"/>
      <c r="I47" s="1427"/>
      <c r="J47" s="1427"/>
      <c r="K47" s="1427"/>
      <c r="L47" s="1427"/>
      <c r="M47" s="1427"/>
      <c r="N47" s="1427"/>
      <c r="O47" s="1427"/>
      <c r="P47" s="1427"/>
      <c r="Q47" s="1427"/>
      <c r="R47" s="1427"/>
      <c r="S47" s="1427"/>
      <c r="T47" s="1427"/>
      <c r="U47" s="1427"/>
      <c r="V47" s="1427"/>
      <c r="W47" s="1427"/>
      <c r="X47" s="1427"/>
      <c r="Y47" s="1427"/>
      <c r="Z47" s="1427"/>
    </row>
    <row r="48" spans="1:26">
      <c r="A48" s="1452" t="s">
        <v>43</v>
      </c>
      <c r="B48" s="1477"/>
      <c r="C48" s="1477"/>
      <c r="D48" s="1477"/>
      <c r="E48" s="1477"/>
      <c r="F48" s="1477"/>
      <c r="G48" s="1477"/>
      <c r="H48" s="1477"/>
      <c r="I48" s="1477"/>
      <c r="J48" s="1477"/>
      <c r="K48" s="1477"/>
      <c r="L48" s="1477"/>
      <c r="M48" s="1477"/>
      <c r="N48" s="1477"/>
      <c r="O48" s="1477"/>
      <c r="P48" s="1477"/>
      <c r="Q48" s="1477"/>
      <c r="R48" s="1477"/>
      <c r="S48" s="1477"/>
      <c r="T48" s="1477"/>
      <c r="U48" s="1477"/>
      <c r="V48" s="1477"/>
      <c r="W48" s="1477"/>
      <c r="X48" s="1477"/>
      <c r="Y48" s="1477"/>
      <c r="Z48" s="1478"/>
    </row>
    <row r="49" spans="1:26" ht="12.75" customHeight="1">
      <c r="A49" s="1697" t="s">
        <v>307</v>
      </c>
      <c r="B49" s="1697" t="s">
        <v>2852</v>
      </c>
      <c r="C49" s="1697" t="s">
        <v>667</v>
      </c>
      <c r="D49" s="1398" t="s">
        <v>2853</v>
      </c>
      <c r="E49" s="1398"/>
      <c r="F49" s="1398"/>
      <c r="G49" s="1398"/>
      <c r="H49" s="1398"/>
      <c r="I49" s="1398"/>
      <c r="J49" s="1398"/>
      <c r="K49" s="1398"/>
      <c r="L49" s="1398"/>
      <c r="M49" s="1398"/>
      <c r="N49" s="1398"/>
      <c r="O49" s="1398"/>
      <c r="P49" s="1398"/>
      <c r="Q49" s="1398"/>
      <c r="R49" s="1398"/>
      <c r="S49" s="1398"/>
      <c r="T49" s="1398"/>
      <c r="U49" s="1398"/>
      <c r="V49" s="1398"/>
      <c r="W49" s="1398"/>
      <c r="X49" s="1398"/>
      <c r="Y49" s="1398"/>
      <c r="Z49" s="1398"/>
    </row>
    <row r="50" spans="1:26" ht="25.5">
      <c r="A50" s="1697"/>
      <c r="B50" s="1697"/>
      <c r="C50" s="1697"/>
      <c r="D50" s="524" t="s">
        <v>670</v>
      </c>
      <c r="E50" s="524" t="s">
        <v>668</v>
      </c>
      <c r="F50" s="524" t="s">
        <v>329</v>
      </c>
      <c r="G50" s="681" t="s">
        <v>3583</v>
      </c>
      <c r="H50" s="519" t="s">
        <v>669</v>
      </c>
      <c r="I50" s="526" t="s">
        <v>331</v>
      </c>
      <c r="J50" s="526" t="s">
        <v>332</v>
      </c>
      <c r="K50" s="526" t="s">
        <v>333</v>
      </c>
      <c r="L50" s="529" t="s">
        <v>528</v>
      </c>
      <c r="M50" s="529" t="s">
        <v>323</v>
      </c>
      <c r="N50" s="529" t="s">
        <v>620</v>
      </c>
      <c r="O50" s="154" t="s">
        <v>5344</v>
      </c>
      <c r="P50" s="526" t="s">
        <v>2835</v>
      </c>
      <c r="Q50" s="526" t="s">
        <v>334</v>
      </c>
      <c r="R50" s="526" t="s">
        <v>335</v>
      </c>
      <c r="S50" s="2585" t="s">
        <v>2854</v>
      </c>
      <c r="T50" s="2586"/>
      <c r="U50" s="2587"/>
      <c r="V50" s="2577" t="s">
        <v>326</v>
      </c>
      <c r="W50" s="2577"/>
      <c r="X50" s="2577"/>
      <c r="Y50" s="2577"/>
      <c r="Z50" s="2577"/>
    </row>
    <row r="51" spans="1:26" ht="11.25" customHeight="1">
      <c r="A51" s="2588" t="s">
        <v>466</v>
      </c>
      <c r="B51" s="180">
        <v>100</v>
      </c>
      <c r="C51" s="180">
        <v>230</v>
      </c>
      <c r="D51" s="87" t="s">
        <v>369</v>
      </c>
      <c r="E51" s="87">
        <f>ROUND(330*Belarus*(1-D103),2)</f>
        <v>330</v>
      </c>
      <c r="F51" s="87">
        <f>ROUND(345*Belarus*(1-D103),2)</f>
        <v>345</v>
      </c>
      <c r="G51" s="87">
        <f>E51</f>
        <v>330</v>
      </c>
      <c r="H51" s="90">
        <f>ROUND(370*Belarus*(1-D103),2)</f>
        <v>370</v>
      </c>
      <c r="I51" s="90">
        <f>ROUND(309*Belarus*(1-D103),2)</f>
        <v>309</v>
      </c>
      <c r="J51" s="90">
        <f>ROUND(295*Belarus*(1-D103),2)</f>
        <v>295</v>
      </c>
      <c r="K51" s="90">
        <f>ROUND(282*Belarus*(1-D103),2)</f>
        <v>282</v>
      </c>
      <c r="L51" s="87">
        <f>ROUND(484*Belarus*(1-D103),2)</f>
        <v>484</v>
      </c>
      <c r="M51" s="87">
        <f>ROUND(287*Belarus*(1-D103),2)</f>
        <v>287</v>
      </c>
      <c r="N51" s="206">
        <f>ROUND(293*Belarus*(1-D103),2)</f>
        <v>293</v>
      </c>
      <c r="O51" s="206">
        <f>ROUND(286*Belarus*(1-E103),2)</f>
        <v>286</v>
      </c>
      <c r="P51" s="90" t="str">
        <f>ROUND(327*Belarus*(1-D103),2)&amp;" НН"</f>
        <v>327 НН</v>
      </c>
      <c r="Q51" s="721">
        <f>ROUND(265*Belarus*(1-D103),2)</f>
        <v>265</v>
      </c>
      <c r="R51" s="90">
        <f>ROUND(250*Belarus*(1-D103),2)</f>
        <v>250</v>
      </c>
      <c r="S51" s="1514">
        <f>R51</f>
        <v>250</v>
      </c>
      <c r="T51" s="1515"/>
      <c r="U51" s="1516"/>
      <c r="V51" s="2584">
        <f>ROUND(202*Belarus*(1-D103),2)</f>
        <v>202</v>
      </c>
      <c r="W51" s="2584"/>
      <c r="X51" s="2584"/>
      <c r="Y51" s="2584"/>
      <c r="Z51" s="2584"/>
    </row>
    <row r="52" spans="1:26" ht="11.25" customHeight="1">
      <c r="A52" s="2589"/>
      <c r="B52" s="180">
        <v>125</v>
      </c>
      <c r="C52" s="180">
        <v>257</v>
      </c>
      <c r="D52" s="87" t="s">
        <v>369</v>
      </c>
      <c r="E52" s="87">
        <f>ROUND(409*Belarus*(1-D103),2)</f>
        <v>409</v>
      </c>
      <c r="F52" s="87">
        <f>ROUND(428*Belarus*(1-D103),2)</f>
        <v>428</v>
      </c>
      <c r="G52" s="87">
        <f>E52</f>
        <v>409</v>
      </c>
      <c r="H52" s="90">
        <f>ROUND(460*Belarus*(1-D103),2)</f>
        <v>460</v>
      </c>
      <c r="I52" s="90">
        <f>ROUND(382*Belarus*(1-D103),2)</f>
        <v>382</v>
      </c>
      <c r="J52" s="90">
        <f>ROUND(365*Belarus*(1-D103),2)</f>
        <v>365</v>
      </c>
      <c r="K52" s="90">
        <f>ROUND(348*Belarus*(1-D103),2)</f>
        <v>348</v>
      </c>
      <c r="L52" s="87">
        <f>ROUND(602*Belarus*(1-D103),2)</f>
        <v>602</v>
      </c>
      <c r="M52" s="87">
        <f>ROUND(354*Belarus*(1-D103),2)</f>
        <v>354</v>
      </c>
      <c r="N52" s="206">
        <f>ROUND(362*Belarus*(1-D103),2)</f>
        <v>362</v>
      </c>
      <c r="O52" s="206">
        <f>ROUND(354*Belarus*(1-E103),2)</f>
        <v>354</v>
      </c>
      <c r="P52" s="90" t="str">
        <f>ROUND(404*Belarus*(1-D103),2)&amp;" НН"</f>
        <v>404 НН</v>
      </c>
      <c r="Q52" s="721">
        <f>ROUND(327*Belarus*(1-D103),2)</f>
        <v>327</v>
      </c>
      <c r="R52" s="90">
        <f>ROUND(308*Belarus*(1-D103),2)</f>
        <v>308</v>
      </c>
      <c r="S52" s="1514">
        <f>R52</f>
        <v>308</v>
      </c>
      <c r="T52" s="1515"/>
      <c r="U52" s="1516"/>
      <c r="V52" s="2584">
        <f>ROUND(249*Belarus*(1-D103),2)</f>
        <v>249</v>
      </c>
      <c r="W52" s="2584"/>
      <c r="X52" s="2584"/>
      <c r="Y52" s="2584"/>
      <c r="Z52" s="2584"/>
    </row>
    <row r="53" spans="1:26" ht="11.25" customHeight="1">
      <c r="A53" s="2589"/>
      <c r="B53" s="180">
        <v>150</v>
      </c>
      <c r="C53" s="180">
        <v>280</v>
      </c>
      <c r="D53" s="87" t="s">
        <v>369</v>
      </c>
      <c r="E53" s="87">
        <f t="shared" ref="E53:S53" si="2">E52</f>
        <v>409</v>
      </c>
      <c r="F53" s="87">
        <f t="shared" si="2"/>
        <v>428</v>
      </c>
      <c r="G53" s="87">
        <f t="shared" si="2"/>
        <v>409</v>
      </c>
      <c r="H53" s="90">
        <f t="shared" si="2"/>
        <v>460</v>
      </c>
      <c r="I53" s="90">
        <f t="shared" si="2"/>
        <v>382</v>
      </c>
      <c r="J53" s="90">
        <f t="shared" si="2"/>
        <v>365</v>
      </c>
      <c r="K53" s="90">
        <f t="shared" si="2"/>
        <v>348</v>
      </c>
      <c r="L53" s="87">
        <f t="shared" si="2"/>
        <v>602</v>
      </c>
      <c r="M53" s="87">
        <f t="shared" si="2"/>
        <v>354</v>
      </c>
      <c r="N53" s="249">
        <f>N52</f>
        <v>362</v>
      </c>
      <c r="O53" s="249">
        <f>O52</f>
        <v>354</v>
      </c>
      <c r="P53" s="90" t="str">
        <f t="shared" si="2"/>
        <v>404 НН</v>
      </c>
      <c r="Q53" s="90">
        <f t="shared" si="2"/>
        <v>327</v>
      </c>
      <c r="R53" s="90">
        <f t="shared" si="2"/>
        <v>308</v>
      </c>
      <c r="S53" s="1514">
        <f t="shared" si="2"/>
        <v>308</v>
      </c>
      <c r="T53" s="1515"/>
      <c r="U53" s="1516"/>
      <c r="V53" s="2584">
        <f>V52</f>
        <v>249</v>
      </c>
      <c r="W53" s="2584"/>
      <c r="X53" s="2584"/>
      <c r="Y53" s="2584"/>
      <c r="Z53" s="2584"/>
    </row>
    <row r="54" spans="1:26" ht="11.25" customHeight="1">
      <c r="A54" s="2589"/>
      <c r="B54" s="180">
        <v>200</v>
      </c>
      <c r="C54" s="180">
        <v>330</v>
      </c>
      <c r="D54" s="87" t="s">
        <v>369</v>
      </c>
      <c r="E54" s="87">
        <f>ROUND(540*Belarus*(1-D103),2)</f>
        <v>540</v>
      </c>
      <c r="F54" s="87">
        <f>ROUND(564*Belarus*(1-D103),2)</f>
        <v>564</v>
      </c>
      <c r="G54" s="87">
        <f>E54</f>
        <v>540</v>
      </c>
      <c r="H54" s="90">
        <f>ROUND(608*Belarus*(1-D103),2)</f>
        <v>608</v>
      </c>
      <c r="I54" s="90">
        <f>ROUND(504*Belarus*(1-D103),2)</f>
        <v>504</v>
      </c>
      <c r="J54" s="90">
        <f>ROUND(482*Belarus*(1-D103),2)</f>
        <v>482</v>
      </c>
      <c r="K54" s="90">
        <f>ROUND(460*Belarus*(1-D103),2)</f>
        <v>460</v>
      </c>
      <c r="L54" s="87">
        <f>ROUND(798*Belarus*(1-D103),2)</f>
        <v>798</v>
      </c>
      <c r="M54" s="87">
        <f>ROUND(468*Belarus*(1-D103),2)</f>
        <v>468</v>
      </c>
      <c r="N54" s="206">
        <f>ROUND(478*Belarus*(1-D103),2)</f>
        <v>478</v>
      </c>
      <c r="O54" s="206">
        <f>ROUND(467*Belarus*(1-E103),2)</f>
        <v>467</v>
      </c>
      <c r="P54" s="90" t="str">
        <f>ROUND(535*Belarus*(1-D103),2)&amp;" НН"</f>
        <v>535 НН</v>
      </c>
      <c r="Q54" s="721">
        <f>ROUND(432*Belarus*(1-D103),2)</f>
        <v>432</v>
      </c>
      <c r="R54" s="90">
        <f>ROUND(406*Belarus*(1-D103),2)</f>
        <v>406</v>
      </c>
      <c r="S54" s="1514">
        <f>R54</f>
        <v>406</v>
      </c>
      <c r="T54" s="1515"/>
      <c r="U54" s="1516"/>
      <c r="V54" s="2584">
        <f>ROUND(327*Belarus*(1-D103),2)</f>
        <v>327</v>
      </c>
      <c r="W54" s="2584"/>
      <c r="X54" s="2584"/>
      <c r="Y54" s="2584"/>
      <c r="Z54" s="2584"/>
    </row>
    <row r="55" spans="1:26" ht="11.25" customHeight="1">
      <c r="A55" s="2589"/>
      <c r="B55" s="180">
        <v>250</v>
      </c>
      <c r="C55" s="180">
        <v>380</v>
      </c>
      <c r="D55" s="87" t="str">
        <f t="shared" ref="D55:S55" si="3">D54</f>
        <v>-</v>
      </c>
      <c r="E55" s="87">
        <f t="shared" si="3"/>
        <v>540</v>
      </c>
      <c r="F55" s="87">
        <f t="shared" si="3"/>
        <v>564</v>
      </c>
      <c r="G55" s="87">
        <f t="shared" si="3"/>
        <v>540</v>
      </c>
      <c r="H55" s="90">
        <f t="shared" si="3"/>
        <v>608</v>
      </c>
      <c r="I55" s="90">
        <f t="shared" si="3"/>
        <v>504</v>
      </c>
      <c r="J55" s="90">
        <f t="shared" si="3"/>
        <v>482</v>
      </c>
      <c r="K55" s="90">
        <f t="shared" si="3"/>
        <v>460</v>
      </c>
      <c r="L55" s="87">
        <f t="shared" si="3"/>
        <v>798</v>
      </c>
      <c r="M55" s="87">
        <f t="shared" si="3"/>
        <v>468</v>
      </c>
      <c r="N55" s="87">
        <f t="shared" si="3"/>
        <v>478</v>
      </c>
      <c r="O55" s="87">
        <f>O54</f>
        <v>467</v>
      </c>
      <c r="P55" s="90" t="str">
        <f t="shared" si="3"/>
        <v>535 НН</v>
      </c>
      <c r="Q55" s="90">
        <f t="shared" si="3"/>
        <v>432</v>
      </c>
      <c r="R55" s="90">
        <f t="shared" si="3"/>
        <v>406</v>
      </c>
      <c r="S55" s="1514">
        <f t="shared" si="3"/>
        <v>406</v>
      </c>
      <c r="T55" s="1515"/>
      <c r="U55" s="1516"/>
      <c r="V55" s="2584">
        <f>V54</f>
        <v>327</v>
      </c>
      <c r="W55" s="2584"/>
      <c r="X55" s="2584"/>
      <c r="Y55" s="2584"/>
      <c r="Z55" s="2584"/>
    </row>
    <row r="56" spans="1:26" ht="11.25" customHeight="1">
      <c r="A56" s="2589"/>
      <c r="B56" s="180" t="s">
        <v>6744</v>
      </c>
      <c r="C56" s="180">
        <v>520</v>
      </c>
      <c r="D56" s="87" t="s">
        <v>369</v>
      </c>
      <c r="E56" s="87">
        <f>ROUND(804*Belarus*(1-D103),2)</f>
        <v>804</v>
      </c>
      <c r="F56" s="87">
        <f>ROUND(840*Belarus*(1-D103),2)</f>
        <v>840</v>
      </c>
      <c r="G56" s="87">
        <f>E56</f>
        <v>804</v>
      </c>
      <c r="H56" s="90">
        <f>ROUND(905*Belarus*(1-D103),2)</f>
        <v>905</v>
      </c>
      <c r="I56" s="90">
        <f>ROUND(750*Belarus*(1-D103),2)</f>
        <v>750</v>
      </c>
      <c r="J56" s="90">
        <f>ROUND(716*Belarus*(1-D103),2)</f>
        <v>716</v>
      </c>
      <c r="K56" s="90">
        <f>ROUND(682*Belarus*(1-D103),2)</f>
        <v>682</v>
      </c>
      <c r="L56" s="87">
        <f>ROUND(1189*Belarus*(1-D103),2)</f>
        <v>1189</v>
      </c>
      <c r="M56" s="87">
        <f>ROUND(694*Belarus*(1-D103),2)</f>
        <v>694</v>
      </c>
      <c r="N56" s="206">
        <f>ROUND(710*Belarus*(1-D103),2)</f>
        <v>710</v>
      </c>
      <c r="O56" s="206">
        <f>ROUND(693*Belarus*(1-E103),2)</f>
        <v>693</v>
      </c>
      <c r="P56" s="90" t="str">
        <f>ROUND(796*Belarus*(1-D103),2)&amp;" НН"</f>
        <v>796 НН</v>
      </c>
      <c r="Q56" s="721">
        <f>ROUND(640*Belarus*(1-D103),2)</f>
        <v>640</v>
      </c>
      <c r="R56" s="90">
        <f>ROUND(602*Belarus*(1-D103),2)</f>
        <v>602</v>
      </c>
      <c r="S56" s="1514">
        <f>R56</f>
        <v>602</v>
      </c>
      <c r="T56" s="1515"/>
      <c r="U56" s="1516"/>
      <c r="V56" s="2584">
        <f>ROUND(483*Belarus*(1-D103),2)</f>
        <v>483</v>
      </c>
      <c r="W56" s="2584"/>
      <c r="X56" s="2584"/>
      <c r="Y56" s="2584"/>
      <c r="Z56" s="2584"/>
    </row>
    <row r="57" spans="1:26" ht="11.25" customHeight="1">
      <c r="A57" s="2590"/>
      <c r="B57" s="530">
        <v>0</v>
      </c>
      <c r="C57" s="180">
        <f>15+20+30+B57+30+20+15</f>
        <v>130</v>
      </c>
      <c r="D57" s="2572" t="s">
        <v>2855</v>
      </c>
      <c r="E57" s="2573"/>
      <c r="F57" s="2573"/>
      <c r="G57" s="2573"/>
      <c r="H57" s="2573"/>
      <c r="I57" s="2573"/>
      <c r="J57" s="2573"/>
      <c r="K57" s="2573"/>
      <c r="L57" s="2573"/>
      <c r="M57" s="2573"/>
      <c r="N57" s="2573"/>
      <c r="O57" s="2573"/>
      <c r="P57" s="2573"/>
      <c r="Q57" s="2573"/>
      <c r="R57" s="2573"/>
      <c r="S57" s="2573"/>
      <c r="T57" s="2573"/>
      <c r="U57" s="2573"/>
      <c r="V57" s="2573"/>
      <c r="W57" s="2573"/>
      <c r="X57" s="2573"/>
      <c r="Y57" s="2573"/>
      <c r="Z57" s="2574"/>
    </row>
    <row r="58" spans="1:26" ht="11.25" customHeight="1">
      <c r="A58" s="2588" t="s">
        <v>470</v>
      </c>
      <c r="B58" s="180">
        <v>100</v>
      </c>
      <c r="C58" s="180">
        <v>236</v>
      </c>
      <c r="D58" s="87" t="str">
        <f>D51</f>
        <v>-</v>
      </c>
      <c r="E58" s="87">
        <f t="shared" ref="E58:R58" si="4">E51</f>
        <v>330</v>
      </c>
      <c r="F58" s="87">
        <f t="shared" si="4"/>
        <v>345</v>
      </c>
      <c r="G58" s="87">
        <f t="shared" si="4"/>
        <v>330</v>
      </c>
      <c r="H58" s="90">
        <f t="shared" si="4"/>
        <v>370</v>
      </c>
      <c r="I58" s="90">
        <f t="shared" si="4"/>
        <v>309</v>
      </c>
      <c r="J58" s="90">
        <f t="shared" si="4"/>
        <v>295</v>
      </c>
      <c r="K58" s="90">
        <f t="shared" si="4"/>
        <v>282</v>
      </c>
      <c r="L58" s="87">
        <f t="shared" si="4"/>
        <v>484</v>
      </c>
      <c r="M58" s="87">
        <f t="shared" si="4"/>
        <v>287</v>
      </c>
      <c r="N58" s="87">
        <f t="shared" si="4"/>
        <v>293</v>
      </c>
      <c r="O58" s="87">
        <f>O51</f>
        <v>286</v>
      </c>
      <c r="P58" s="90" t="str">
        <f t="shared" si="4"/>
        <v>327 НН</v>
      </c>
      <c r="Q58" s="90">
        <f t="shared" si="4"/>
        <v>265</v>
      </c>
      <c r="R58" s="90">
        <f t="shared" si="4"/>
        <v>250</v>
      </c>
      <c r="S58" s="1514">
        <f>S51</f>
        <v>250</v>
      </c>
      <c r="T58" s="1515"/>
      <c r="U58" s="1516"/>
      <c r="V58" s="2584">
        <f>V51</f>
        <v>202</v>
      </c>
      <c r="W58" s="2584"/>
      <c r="X58" s="2584"/>
      <c r="Y58" s="2584"/>
      <c r="Z58" s="2584"/>
    </row>
    <row r="59" spans="1:26" ht="11.25" customHeight="1">
      <c r="A59" s="2589"/>
      <c r="B59" s="180">
        <v>125</v>
      </c>
      <c r="C59" s="180">
        <v>264</v>
      </c>
      <c r="D59" s="87" t="str">
        <f>D52</f>
        <v>-</v>
      </c>
      <c r="E59" s="87">
        <f t="shared" ref="E59:R59" si="5">E52</f>
        <v>409</v>
      </c>
      <c r="F59" s="87">
        <f t="shared" si="5"/>
        <v>428</v>
      </c>
      <c r="G59" s="87">
        <f t="shared" si="5"/>
        <v>409</v>
      </c>
      <c r="H59" s="90">
        <f t="shared" si="5"/>
        <v>460</v>
      </c>
      <c r="I59" s="90">
        <f t="shared" si="5"/>
        <v>382</v>
      </c>
      <c r="J59" s="90">
        <f t="shared" si="5"/>
        <v>365</v>
      </c>
      <c r="K59" s="90">
        <f t="shared" si="5"/>
        <v>348</v>
      </c>
      <c r="L59" s="87">
        <f t="shared" si="5"/>
        <v>602</v>
      </c>
      <c r="M59" s="87">
        <f t="shared" si="5"/>
        <v>354</v>
      </c>
      <c r="N59" s="87">
        <f t="shared" si="5"/>
        <v>362</v>
      </c>
      <c r="O59" s="87">
        <f>O52</f>
        <v>354</v>
      </c>
      <c r="P59" s="90" t="str">
        <f t="shared" si="5"/>
        <v>404 НН</v>
      </c>
      <c r="Q59" s="90">
        <f t="shared" si="5"/>
        <v>327</v>
      </c>
      <c r="R59" s="90">
        <f t="shared" si="5"/>
        <v>308</v>
      </c>
      <c r="S59" s="1514">
        <f>S52</f>
        <v>308</v>
      </c>
      <c r="T59" s="1515"/>
      <c r="U59" s="1516"/>
      <c r="V59" s="2584">
        <f>V52</f>
        <v>249</v>
      </c>
      <c r="W59" s="2584"/>
      <c r="X59" s="2584"/>
      <c r="Y59" s="2584"/>
      <c r="Z59" s="2584"/>
    </row>
    <row r="60" spans="1:26" ht="11.25" customHeight="1">
      <c r="A60" s="2589"/>
      <c r="B60" s="180">
        <v>150</v>
      </c>
      <c r="C60" s="180">
        <v>290</v>
      </c>
      <c r="D60" s="87" t="str">
        <f>D52</f>
        <v>-</v>
      </c>
      <c r="E60" s="87">
        <f t="shared" ref="E60:R60" si="6">E52</f>
        <v>409</v>
      </c>
      <c r="F60" s="87">
        <f t="shared" si="6"/>
        <v>428</v>
      </c>
      <c r="G60" s="87">
        <f t="shared" si="6"/>
        <v>409</v>
      </c>
      <c r="H60" s="90">
        <f t="shared" si="6"/>
        <v>460</v>
      </c>
      <c r="I60" s="90">
        <f t="shared" si="6"/>
        <v>382</v>
      </c>
      <c r="J60" s="90">
        <f t="shared" si="6"/>
        <v>365</v>
      </c>
      <c r="K60" s="90">
        <f t="shared" si="6"/>
        <v>348</v>
      </c>
      <c r="L60" s="87">
        <f t="shared" si="6"/>
        <v>602</v>
      </c>
      <c r="M60" s="87">
        <f t="shared" si="6"/>
        <v>354</v>
      </c>
      <c r="N60" s="87">
        <f t="shared" si="6"/>
        <v>362</v>
      </c>
      <c r="O60" s="87">
        <f>O52</f>
        <v>354</v>
      </c>
      <c r="P60" s="90" t="str">
        <f t="shared" si="6"/>
        <v>404 НН</v>
      </c>
      <c r="Q60" s="90">
        <f t="shared" si="6"/>
        <v>327</v>
      </c>
      <c r="R60" s="90">
        <f t="shared" si="6"/>
        <v>308</v>
      </c>
      <c r="S60" s="1514">
        <f>S52</f>
        <v>308</v>
      </c>
      <c r="T60" s="1515"/>
      <c r="U60" s="1516"/>
      <c r="V60" s="2584">
        <f>V52</f>
        <v>249</v>
      </c>
      <c r="W60" s="2584"/>
      <c r="X60" s="2584"/>
      <c r="Y60" s="2584"/>
      <c r="Z60" s="2584"/>
    </row>
    <row r="61" spans="1:26" ht="11.25" customHeight="1">
      <c r="A61" s="2589"/>
      <c r="B61" s="180">
        <v>200</v>
      </c>
      <c r="C61" s="180">
        <v>343</v>
      </c>
      <c r="D61" s="87" t="str">
        <f>D54</f>
        <v>-</v>
      </c>
      <c r="E61" s="87">
        <f t="shared" ref="E61:R61" si="7">E54</f>
        <v>540</v>
      </c>
      <c r="F61" s="87">
        <f t="shared" si="7"/>
        <v>564</v>
      </c>
      <c r="G61" s="87">
        <f t="shared" si="7"/>
        <v>540</v>
      </c>
      <c r="H61" s="90">
        <f t="shared" si="7"/>
        <v>608</v>
      </c>
      <c r="I61" s="90">
        <f t="shared" si="7"/>
        <v>504</v>
      </c>
      <c r="J61" s="90">
        <f t="shared" si="7"/>
        <v>482</v>
      </c>
      <c r="K61" s="90">
        <f t="shared" si="7"/>
        <v>460</v>
      </c>
      <c r="L61" s="87">
        <f t="shared" si="7"/>
        <v>798</v>
      </c>
      <c r="M61" s="87">
        <f t="shared" si="7"/>
        <v>468</v>
      </c>
      <c r="N61" s="87">
        <f t="shared" si="7"/>
        <v>478</v>
      </c>
      <c r="O61" s="87">
        <f>O54</f>
        <v>467</v>
      </c>
      <c r="P61" s="90" t="str">
        <f t="shared" si="7"/>
        <v>535 НН</v>
      </c>
      <c r="Q61" s="90">
        <f t="shared" si="7"/>
        <v>432</v>
      </c>
      <c r="R61" s="90">
        <f t="shared" si="7"/>
        <v>406</v>
      </c>
      <c r="S61" s="1514">
        <f>S54</f>
        <v>406</v>
      </c>
      <c r="T61" s="1515"/>
      <c r="U61" s="1516"/>
      <c r="V61" s="2584">
        <f>V54</f>
        <v>327</v>
      </c>
      <c r="W61" s="2584"/>
      <c r="X61" s="2584"/>
      <c r="Y61" s="2584"/>
      <c r="Z61" s="2584"/>
    </row>
    <row r="62" spans="1:26" ht="11.25" customHeight="1">
      <c r="A62" s="2589"/>
      <c r="B62" s="180">
        <v>250</v>
      </c>
      <c r="C62" s="180">
        <v>396</v>
      </c>
      <c r="D62" s="87" t="str">
        <f>D55</f>
        <v>-</v>
      </c>
      <c r="E62" s="87">
        <f t="shared" ref="E62:R62" si="8">E55</f>
        <v>540</v>
      </c>
      <c r="F62" s="87">
        <f t="shared" si="8"/>
        <v>564</v>
      </c>
      <c r="G62" s="87">
        <f t="shared" si="8"/>
        <v>540</v>
      </c>
      <c r="H62" s="90">
        <f t="shared" si="8"/>
        <v>608</v>
      </c>
      <c r="I62" s="90">
        <f t="shared" si="8"/>
        <v>504</v>
      </c>
      <c r="J62" s="90">
        <f t="shared" si="8"/>
        <v>482</v>
      </c>
      <c r="K62" s="90">
        <f t="shared" si="8"/>
        <v>460</v>
      </c>
      <c r="L62" s="87">
        <f t="shared" si="8"/>
        <v>798</v>
      </c>
      <c r="M62" s="87">
        <f t="shared" si="8"/>
        <v>468</v>
      </c>
      <c r="N62" s="87">
        <f t="shared" si="8"/>
        <v>478</v>
      </c>
      <c r="O62" s="87">
        <f>O55</f>
        <v>467</v>
      </c>
      <c r="P62" s="90" t="str">
        <f t="shared" si="8"/>
        <v>535 НН</v>
      </c>
      <c r="Q62" s="90">
        <f t="shared" si="8"/>
        <v>432</v>
      </c>
      <c r="R62" s="90">
        <f t="shared" si="8"/>
        <v>406</v>
      </c>
      <c r="S62" s="1514">
        <f>S55</f>
        <v>406</v>
      </c>
      <c r="T62" s="1515"/>
      <c r="U62" s="1516"/>
      <c r="V62" s="2584">
        <f>V55</f>
        <v>327</v>
      </c>
      <c r="W62" s="2584"/>
      <c r="X62" s="2584"/>
      <c r="Y62" s="2584"/>
      <c r="Z62" s="2584"/>
    </row>
    <row r="63" spans="1:26" ht="11.25" customHeight="1">
      <c r="A63" s="2589"/>
      <c r="B63" s="180" t="s">
        <v>6744</v>
      </c>
      <c r="C63" s="180">
        <v>545</v>
      </c>
      <c r="D63" s="87" t="s">
        <v>369</v>
      </c>
      <c r="E63" s="87">
        <f t="shared" ref="E63:N63" si="9">E56</f>
        <v>804</v>
      </c>
      <c r="F63" s="87">
        <f t="shared" si="9"/>
        <v>840</v>
      </c>
      <c r="G63" s="87">
        <f t="shared" si="9"/>
        <v>804</v>
      </c>
      <c r="H63" s="90">
        <f t="shared" si="9"/>
        <v>905</v>
      </c>
      <c r="I63" s="90">
        <f t="shared" si="9"/>
        <v>750</v>
      </c>
      <c r="J63" s="90">
        <f t="shared" si="9"/>
        <v>716</v>
      </c>
      <c r="K63" s="90">
        <f t="shared" si="9"/>
        <v>682</v>
      </c>
      <c r="L63" s="87">
        <f t="shared" si="9"/>
        <v>1189</v>
      </c>
      <c r="M63" s="87">
        <f t="shared" si="9"/>
        <v>694</v>
      </c>
      <c r="N63" s="87">
        <f t="shared" si="9"/>
        <v>710</v>
      </c>
      <c r="O63" s="87">
        <f>O56</f>
        <v>693</v>
      </c>
      <c r="P63" s="90" t="str">
        <f>P56</f>
        <v>796 НН</v>
      </c>
      <c r="Q63" s="90">
        <f>Q56</f>
        <v>640</v>
      </c>
      <c r="R63" s="90">
        <f>R56</f>
        <v>602</v>
      </c>
      <c r="S63" s="1514">
        <f>S56</f>
        <v>602</v>
      </c>
      <c r="T63" s="1515"/>
      <c r="U63" s="1516"/>
      <c r="V63" s="2584">
        <f>V56</f>
        <v>483</v>
      </c>
      <c r="W63" s="2584"/>
      <c r="X63" s="2584"/>
      <c r="Y63" s="2584"/>
      <c r="Z63" s="2584"/>
    </row>
    <row r="64" spans="1:26" ht="11.25" customHeight="1">
      <c r="A64" s="2590"/>
      <c r="B64" s="530">
        <v>0</v>
      </c>
      <c r="C64" s="180">
        <f>15+20+30+((B64/2)/(COS(RADIANS(20))))+((B64/2)/(COS(RADIANS(20))))+30+20+15</f>
        <v>130</v>
      </c>
      <c r="D64" s="1578" t="s">
        <v>2855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row>
    <row r="65" spans="1:26" ht="11.25" customHeight="1">
      <c r="A65" s="1427" t="s">
        <v>2856</v>
      </c>
      <c r="B65" s="1427"/>
      <c r="C65" s="1427"/>
      <c r="D65" s="1427"/>
      <c r="E65" s="1427"/>
      <c r="F65" s="1427"/>
      <c r="G65" s="1427"/>
      <c r="H65" s="1427"/>
      <c r="I65" s="1427"/>
      <c r="J65" s="1427"/>
      <c r="K65" s="1427"/>
      <c r="L65" s="1427"/>
      <c r="M65" s="1427"/>
      <c r="N65" s="1427"/>
      <c r="O65" s="1427"/>
      <c r="P65" s="1427"/>
      <c r="Q65" s="1427"/>
      <c r="R65" s="1427"/>
      <c r="S65" s="1427"/>
      <c r="T65" s="1427"/>
      <c r="U65" s="1427"/>
      <c r="V65" s="1427"/>
      <c r="W65" s="1427"/>
      <c r="X65" s="1427"/>
      <c r="Y65" s="1427"/>
      <c r="Z65" s="1427"/>
    </row>
    <row r="66" spans="1:26" ht="11.25" customHeight="1">
      <c r="A66" s="138"/>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2.75" customHeight="1">
      <c r="A67" s="1491" t="s">
        <v>575</v>
      </c>
      <c r="B67" s="1491"/>
      <c r="C67" s="1491"/>
      <c r="D67" s="1491"/>
      <c r="E67" s="1491"/>
      <c r="H67" s="1388" t="s">
        <v>420</v>
      </c>
      <c r="I67" s="1388"/>
      <c r="J67" s="1388"/>
      <c r="K67" s="1388"/>
      <c r="L67" s="1388"/>
      <c r="M67" s="1388"/>
      <c r="N67" s="1388"/>
      <c r="O67" s="1388"/>
      <c r="P67" s="1388"/>
      <c r="Q67" s="1388"/>
      <c r="R67" s="1388"/>
      <c r="S67" s="1388"/>
      <c r="T67" s="1388"/>
      <c r="U67" s="1388"/>
      <c r="V67" s="1388"/>
      <c r="W67" s="1388"/>
      <c r="X67" s="1388"/>
      <c r="Y67" s="1388"/>
      <c r="Z67" s="1388"/>
    </row>
    <row r="68" spans="1:26" ht="12.75" customHeight="1">
      <c r="A68" s="2592" t="s">
        <v>2857</v>
      </c>
      <c r="B68" s="2593"/>
      <c r="C68" s="2594"/>
      <c r="D68" s="1552" t="str">
        <f>160*Belarus&amp;" руб./кв.м."</f>
        <v>160 руб./кв.м.</v>
      </c>
      <c r="E68" s="1554"/>
      <c r="H68" s="1280" t="s">
        <v>425</v>
      </c>
      <c r="I68" s="1280"/>
      <c r="J68" s="1280"/>
      <c r="K68" s="1280"/>
      <c r="L68" s="1280"/>
      <c r="M68" s="1280"/>
      <c r="N68" s="1280"/>
      <c r="O68" s="1280"/>
      <c r="P68" s="1280"/>
      <c r="Q68" s="1280"/>
      <c r="R68" s="1280"/>
      <c r="S68" s="1280"/>
      <c r="T68" s="1280"/>
      <c r="U68" s="1280"/>
      <c r="V68" s="1280"/>
      <c r="W68" s="1280"/>
      <c r="X68" s="1280"/>
      <c r="Y68" s="1280"/>
      <c r="Z68" s="1280"/>
    </row>
    <row r="69" spans="1:26">
      <c r="A69" s="2595"/>
      <c r="B69" s="2596"/>
      <c r="C69" s="2597"/>
      <c r="D69" s="2601"/>
      <c r="E69" s="2602"/>
      <c r="H69" s="1332" t="s">
        <v>4225</v>
      </c>
      <c r="I69" s="1332"/>
      <c r="J69" s="1332"/>
      <c r="K69" s="1332"/>
      <c r="L69" s="1332"/>
      <c r="M69" s="1332"/>
      <c r="N69" s="1332"/>
      <c r="O69" s="1332"/>
      <c r="P69" s="1332"/>
      <c r="Q69" s="1332"/>
      <c r="R69" s="1332"/>
      <c r="S69" s="1332"/>
      <c r="T69" s="1332"/>
      <c r="U69" s="1332"/>
      <c r="V69" s="1332"/>
      <c r="W69" s="1332"/>
      <c r="X69" s="1332"/>
      <c r="Y69" s="1332"/>
      <c r="Z69" s="1332"/>
    </row>
    <row r="70" spans="1:26" ht="12.75" customHeight="1">
      <c r="A70" s="2598"/>
      <c r="B70" s="2599"/>
      <c r="C70" s="2600"/>
      <c r="D70" s="1555"/>
      <c r="E70" s="1557"/>
      <c r="H70" s="1332"/>
      <c r="I70" s="1332"/>
      <c r="J70" s="1332"/>
      <c r="K70" s="1332"/>
      <c r="L70" s="1332"/>
      <c r="M70" s="1332"/>
      <c r="N70" s="1332"/>
      <c r="O70" s="1332"/>
      <c r="P70" s="1332"/>
      <c r="Q70" s="1332"/>
      <c r="R70" s="1332"/>
      <c r="S70" s="1332"/>
      <c r="T70" s="1332"/>
      <c r="U70" s="1332"/>
      <c r="V70" s="1332"/>
      <c r="W70" s="1332"/>
      <c r="X70" s="1332"/>
      <c r="Y70" s="1332"/>
      <c r="Z70" s="1332"/>
    </row>
    <row r="71" spans="1:26" ht="27.75" customHeight="1">
      <c r="A71" s="1351" t="s">
        <v>6532</v>
      </c>
      <c r="B71" s="1351"/>
      <c r="C71" s="1351"/>
      <c r="D71" s="1285">
        <f>15*Belarus</f>
        <v>15</v>
      </c>
      <c r="E71" s="1285"/>
      <c r="H71" s="1409" t="s">
        <v>6770</v>
      </c>
      <c r="I71" s="1410"/>
      <c r="J71" s="1410"/>
      <c r="K71" s="1410"/>
      <c r="L71" s="1410"/>
      <c r="M71" s="1410"/>
      <c r="N71" s="1410"/>
      <c r="O71" s="1410"/>
      <c r="P71" s="1410"/>
      <c r="Q71" s="1410"/>
      <c r="R71" s="1410"/>
      <c r="S71" s="1410"/>
      <c r="T71" s="1410"/>
      <c r="U71" s="1410"/>
      <c r="V71" s="1410"/>
      <c r="W71" s="1410"/>
      <c r="X71" s="1410"/>
      <c r="Y71" s="1410"/>
      <c r="Z71" s="1411"/>
    </row>
    <row r="72" spans="1:26" ht="12.75" customHeight="1">
      <c r="A72" s="1351" t="s">
        <v>779</v>
      </c>
      <c r="B72" s="1351"/>
      <c r="C72" s="1351"/>
      <c r="D72" s="2591">
        <f>360*Belarus</f>
        <v>360</v>
      </c>
      <c r="E72" s="2591"/>
      <c r="H72" s="1280" t="s">
        <v>3718</v>
      </c>
      <c r="I72" s="1280"/>
      <c r="J72" s="1280"/>
      <c r="K72" s="1280"/>
      <c r="L72" s="1280"/>
      <c r="M72" s="1280"/>
      <c r="N72" s="1280"/>
      <c r="O72" s="1280"/>
      <c r="P72" s="1280"/>
      <c r="Q72" s="1280"/>
      <c r="R72" s="1280"/>
      <c r="S72" s="1280"/>
      <c r="T72" s="1280"/>
      <c r="U72" s="1280"/>
      <c r="V72" s="1280"/>
      <c r="W72" s="1280"/>
      <c r="X72" s="1280"/>
      <c r="Y72" s="1280"/>
      <c r="Z72" s="1280"/>
    </row>
    <row r="73" spans="1:26" ht="12.75" customHeight="1">
      <c r="A73" s="1351" t="s">
        <v>590</v>
      </c>
      <c r="B73" s="1351"/>
      <c r="C73" s="1351"/>
      <c r="D73" s="1285">
        <f>1450*Belarus</f>
        <v>1450</v>
      </c>
      <c r="E73" s="1285"/>
      <c r="H73" s="1296" t="s">
        <v>6342</v>
      </c>
      <c r="I73" s="1296"/>
      <c r="J73" s="1296"/>
      <c r="K73" s="1296"/>
      <c r="L73" s="1296"/>
      <c r="M73" s="1296"/>
      <c r="N73" s="1296"/>
      <c r="O73" s="1296"/>
      <c r="P73" s="1296"/>
      <c r="Q73" s="1296"/>
      <c r="R73" s="1296"/>
      <c r="S73" s="1296"/>
      <c r="T73" s="1296"/>
      <c r="U73" s="1296"/>
      <c r="V73" s="1296"/>
      <c r="W73" s="1296"/>
      <c r="X73" s="1296"/>
      <c r="Y73" s="1296"/>
      <c r="Z73" s="1296"/>
    </row>
    <row r="74" spans="1:26" ht="12.75" customHeight="1">
      <c r="A74" s="1351" t="s">
        <v>704</v>
      </c>
      <c r="B74" s="1351"/>
      <c r="C74" s="1351"/>
      <c r="D74" s="1285">
        <f>95*Belarus</f>
        <v>95</v>
      </c>
      <c r="E74" s="1285"/>
      <c r="H74" s="1280" t="s">
        <v>3731</v>
      </c>
      <c r="I74" s="1280"/>
      <c r="J74" s="1280"/>
      <c r="K74" s="1280"/>
      <c r="L74" s="1280"/>
      <c r="M74" s="1280"/>
      <c r="N74" s="1280"/>
      <c r="O74" s="1280"/>
      <c r="P74" s="1280"/>
      <c r="Q74" s="1280"/>
      <c r="R74" s="1280"/>
      <c r="S74" s="1280"/>
      <c r="T74" s="1280"/>
      <c r="U74" s="1280"/>
      <c r="V74" s="1280"/>
      <c r="W74" s="1280"/>
      <c r="X74" s="1280"/>
      <c r="Y74" s="1280"/>
      <c r="Z74" s="1280"/>
    </row>
    <row r="75" spans="1:26" ht="12.75" customHeight="1">
      <c r="A75" s="1351" t="s">
        <v>2859</v>
      </c>
      <c r="B75" s="1351"/>
      <c r="C75" s="1351"/>
      <c r="D75" s="1285">
        <f>735*Belarus</f>
        <v>735</v>
      </c>
      <c r="E75" s="1285"/>
      <c r="H75" s="1344" t="s">
        <v>6663</v>
      </c>
      <c r="I75" s="1344"/>
      <c r="J75" s="1344"/>
      <c r="K75" s="1344"/>
      <c r="L75" s="1344"/>
      <c r="M75" s="1344"/>
      <c r="N75" s="1344"/>
      <c r="O75" s="1344"/>
      <c r="P75" s="1344"/>
      <c r="Q75" s="1344"/>
      <c r="R75" s="1344"/>
      <c r="S75" s="1344"/>
      <c r="T75" s="1344"/>
      <c r="U75" s="1344"/>
      <c r="V75" s="1344"/>
      <c r="W75" s="1344"/>
      <c r="X75" s="1344"/>
      <c r="Y75" s="1344"/>
      <c r="Z75" s="1344"/>
    </row>
    <row r="76" spans="1:26" ht="12.75" customHeight="1">
      <c r="A76" s="2603" t="s">
        <v>2860</v>
      </c>
      <c r="B76" s="2604"/>
      <c r="C76" s="2604"/>
      <c r="D76" s="1629" t="s">
        <v>769</v>
      </c>
      <c r="E76" s="1629"/>
      <c r="H76" s="1296" t="str">
        <f>"(7) продукция в покрытии Ре 0,45 в цветах RAL 1018 и 2004 (кроме штакетника и доборных элементов) на "&amp;(18*Belarus)&amp;" рублей дороже продукции в покрытии Ре 0,45 в остальных цветах"</f>
        <v>(7) продукция в покрытии Ре 0,45 в цветах RAL 1018 и 2004 (кроме штакетника и доборных элементов) на 18 рублей дороже продукции в покрытии Ре 0,45 в остальных цветах</v>
      </c>
      <c r="I76" s="1296"/>
      <c r="J76" s="1296"/>
      <c r="K76" s="1296"/>
      <c r="L76" s="1296"/>
      <c r="M76" s="1296"/>
      <c r="N76" s="1296"/>
      <c r="O76" s="1296"/>
      <c r="P76" s="1296"/>
      <c r="Q76" s="1296"/>
      <c r="R76" s="1296"/>
      <c r="S76" s="1296"/>
      <c r="T76" s="1296"/>
      <c r="U76" s="1296"/>
      <c r="V76" s="1296"/>
      <c r="W76" s="1296"/>
      <c r="X76" s="1296"/>
      <c r="Y76" s="1296"/>
      <c r="Z76" s="1296"/>
    </row>
    <row r="77" spans="1:26" ht="12.75" customHeight="1">
      <c r="A77" s="1351" t="s">
        <v>2861</v>
      </c>
      <c r="B77" s="1351"/>
      <c r="C77" s="1351"/>
      <c r="D77" s="1285">
        <f>0.74*Belarus</f>
        <v>0.74</v>
      </c>
      <c r="E77" s="1285"/>
      <c r="H77" s="1418" t="s">
        <v>6298</v>
      </c>
      <c r="I77" s="2610"/>
      <c r="J77" s="2610"/>
      <c r="K77" s="2610"/>
      <c r="L77" s="2610"/>
      <c r="M77" s="2610"/>
      <c r="N77" s="2610"/>
      <c r="O77" s="2610"/>
      <c r="P77" s="2610"/>
      <c r="Q77" s="2610"/>
      <c r="R77" s="2610"/>
      <c r="S77" s="2610"/>
      <c r="T77" s="2610"/>
      <c r="U77" s="2610"/>
      <c r="V77" s="2610"/>
      <c r="W77" s="2610"/>
      <c r="X77" s="2610"/>
      <c r="Y77" s="2610"/>
      <c r="Z77" s="2611"/>
    </row>
    <row r="78" spans="1:26" ht="12.75" customHeight="1">
      <c r="A78" s="1351" t="s">
        <v>2862</v>
      </c>
      <c r="B78" s="1351"/>
      <c r="C78" s="1351"/>
      <c r="D78" s="1285">
        <f>0.74*Belarus</f>
        <v>0.74</v>
      </c>
      <c r="E78" s="1285"/>
      <c r="H78" s="2612"/>
      <c r="I78" s="2613"/>
      <c r="J78" s="2613"/>
      <c r="K78" s="2613"/>
      <c r="L78" s="2613"/>
      <c r="M78" s="2613"/>
      <c r="N78" s="2613"/>
      <c r="O78" s="2613"/>
      <c r="P78" s="2613"/>
      <c r="Q78" s="2613"/>
      <c r="R78" s="2613"/>
      <c r="S78" s="2613"/>
      <c r="T78" s="2613"/>
      <c r="U78" s="2613"/>
      <c r="V78" s="2613"/>
      <c r="W78" s="2613"/>
      <c r="X78" s="2613"/>
      <c r="Y78" s="2613"/>
      <c r="Z78" s="2614"/>
    </row>
    <row r="79" spans="1:26" s="54" customFormat="1" ht="12.75" customHeight="1">
      <c r="A79" s="1351" t="s">
        <v>2863</v>
      </c>
      <c r="B79" s="1351"/>
      <c r="C79" s="1351"/>
      <c r="D79" s="1285">
        <f>4*Belarus</f>
        <v>4</v>
      </c>
      <c r="E79" s="1285"/>
      <c r="H79" s="1296" t="s">
        <v>6574</v>
      </c>
      <c r="I79" s="1505"/>
      <c r="J79" s="1505"/>
      <c r="K79" s="1505"/>
      <c r="L79" s="1505"/>
      <c r="M79" s="1505"/>
      <c r="N79" s="1505"/>
      <c r="O79" s="1505"/>
      <c r="P79" s="1505"/>
      <c r="Q79" s="1505"/>
      <c r="R79" s="1505"/>
      <c r="S79" s="1505"/>
      <c r="T79" s="1505"/>
      <c r="U79" s="1505"/>
      <c r="V79" s="1505"/>
      <c r="W79" s="1505"/>
      <c r="X79" s="1505"/>
      <c r="Y79" s="1505"/>
      <c r="Z79" s="1505"/>
    </row>
    <row r="80" spans="1:26" s="54" customFormat="1" ht="12.75" customHeight="1">
      <c r="A80" s="1351" t="s">
        <v>2864</v>
      </c>
      <c r="B80" s="1351"/>
      <c r="C80" s="1351"/>
      <c r="D80" s="1285">
        <f>4*Belarus</f>
        <v>4</v>
      </c>
      <c r="E80" s="1285"/>
      <c r="H80" s="1296" t="s">
        <v>6853</v>
      </c>
      <c r="I80" s="1296"/>
      <c r="J80" s="1296"/>
      <c r="K80" s="1296"/>
      <c r="L80" s="1296"/>
      <c r="M80" s="1296"/>
      <c r="N80" s="1296"/>
      <c r="O80" s="1296"/>
      <c r="P80" s="1296"/>
      <c r="Q80" s="1296"/>
      <c r="R80" s="1296"/>
      <c r="S80" s="1296"/>
      <c r="T80" s="1296"/>
      <c r="U80" s="1296"/>
      <c r="V80" s="1296"/>
      <c r="W80" s="1296"/>
      <c r="X80" s="1296"/>
      <c r="Y80" s="1296"/>
      <c r="Z80" s="1296"/>
    </row>
    <row r="81" spans="1:26" ht="12.75" customHeight="1">
      <c r="A81" s="1351" t="s">
        <v>2865</v>
      </c>
      <c r="B81" s="1351"/>
      <c r="C81" s="1351"/>
      <c r="D81" s="1285">
        <f>5*Belarus</f>
        <v>5</v>
      </c>
      <c r="E81" s="1285"/>
      <c r="H81" s="1280" t="s">
        <v>3715</v>
      </c>
      <c r="I81" s="1280"/>
      <c r="J81" s="1280"/>
      <c r="K81" s="1280"/>
      <c r="L81" s="1280"/>
      <c r="M81" s="1280"/>
      <c r="N81" s="1280"/>
      <c r="O81" s="1280"/>
      <c r="P81" s="1280"/>
      <c r="Q81" s="1280"/>
      <c r="R81" s="1280"/>
      <c r="S81" s="1280"/>
      <c r="T81" s="1280"/>
      <c r="U81" s="1280"/>
      <c r="V81" s="1280"/>
      <c r="W81" s="1280"/>
      <c r="X81" s="1280"/>
      <c r="Y81" s="1280"/>
      <c r="Z81" s="1280"/>
    </row>
    <row r="82" spans="1:26" ht="12.75" customHeight="1">
      <c r="A82" s="1351" t="s">
        <v>2866</v>
      </c>
      <c r="B82" s="1351"/>
      <c r="C82" s="1351"/>
      <c r="D82" s="1285">
        <f>4*Belarus</f>
        <v>4</v>
      </c>
      <c r="E82" s="1285"/>
      <c r="H82" s="1344" t="s">
        <v>6726</v>
      </c>
      <c r="I82" s="1344"/>
      <c r="J82" s="1344"/>
      <c r="K82" s="1344"/>
      <c r="L82" s="1344"/>
      <c r="M82" s="1344"/>
      <c r="N82" s="1344"/>
      <c r="O82" s="1344"/>
      <c r="P82" s="1344"/>
      <c r="Q82" s="1344"/>
      <c r="R82" s="1344"/>
      <c r="S82" s="1344"/>
      <c r="T82" s="1344"/>
      <c r="U82" s="1344"/>
      <c r="V82" s="1344"/>
      <c r="W82" s="1344"/>
      <c r="X82" s="1344"/>
      <c r="Y82" s="1344"/>
      <c r="Z82" s="1344"/>
    </row>
    <row r="83" spans="1:26" ht="12.75" customHeight="1">
      <c r="A83" s="2603" t="s">
        <v>2867</v>
      </c>
      <c r="B83" s="2604"/>
      <c r="C83" s="2604"/>
      <c r="D83" s="1629" t="s">
        <v>769</v>
      </c>
      <c r="E83" s="1629"/>
      <c r="H83" s="1389" t="s">
        <v>6725</v>
      </c>
      <c r="I83" s="1390"/>
      <c r="J83" s="1390"/>
      <c r="K83" s="1390"/>
      <c r="L83" s="1390"/>
      <c r="M83" s="1390"/>
      <c r="N83" s="1390"/>
      <c r="O83" s="1390"/>
      <c r="P83" s="1390"/>
      <c r="Q83" s="1390"/>
      <c r="R83" s="1390"/>
      <c r="S83" s="1390"/>
      <c r="T83" s="1390"/>
      <c r="U83" s="1390"/>
      <c r="V83" s="1390"/>
      <c r="W83" s="1390"/>
      <c r="X83" s="1390"/>
      <c r="Y83" s="1390"/>
      <c r="Z83" s="1391"/>
    </row>
    <row r="84" spans="1:26" ht="12.75" customHeight="1">
      <c r="A84" s="1351" t="s">
        <v>2869</v>
      </c>
      <c r="B84" s="1351"/>
      <c r="C84" s="1351"/>
      <c r="D84" s="1285">
        <f>1.25*Belarus</f>
        <v>1.25</v>
      </c>
      <c r="E84" s="1285"/>
      <c r="H84" s="1395"/>
      <c r="I84" s="1396"/>
      <c r="J84" s="1396"/>
      <c r="K84" s="1396"/>
      <c r="L84" s="1396"/>
      <c r="M84" s="1396"/>
      <c r="N84" s="1396"/>
      <c r="O84" s="1396"/>
      <c r="P84" s="1396"/>
      <c r="Q84" s="1396"/>
      <c r="R84" s="1396"/>
      <c r="S84" s="1396"/>
      <c r="T84" s="1396"/>
      <c r="U84" s="1396"/>
      <c r="V84" s="1396"/>
      <c r="W84" s="1396"/>
      <c r="X84" s="1396"/>
      <c r="Y84" s="1396"/>
      <c r="Z84" s="1397"/>
    </row>
    <row r="85" spans="1:26" ht="12.75" customHeight="1">
      <c r="A85" s="1351" t="s">
        <v>2871</v>
      </c>
      <c r="B85" s="1351"/>
      <c r="C85" s="1351"/>
      <c r="D85" s="1285">
        <f>1.82*Belarus</f>
        <v>1.82</v>
      </c>
      <c r="E85" s="1285"/>
      <c r="H85" s="1280" t="s">
        <v>2858</v>
      </c>
      <c r="I85" s="1280"/>
      <c r="J85" s="1280"/>
      <c r="K85" s="1280"/>
      <c r="L85" s="1280"/>
      <c r="M85" s="1280"/>
      <c r="N85" s="1280"/>
      <c r="O85" s="1280"/>
      <c r="P85" s="1280"/>
      <c r="Q85" s="1280"/>
      <c r="R85" s="1280"/>
      <c r="S85" s="1280"/>
      <c r="T85" s="1280"/>
      <c r="U85" s="1280"/>
      <c r="V85" s="1280"/>
      <c r="W85" s="1280"/>
      <c r="X85" s="1280"/>
      <c r="Y85" s="1280"/>
      <c r="Z85" s="1280"/>
    </row>
    <row r="86" spans="1:26" ht="12.75" customHeight="1">
      <c r="H86" s="1280" t="s">
        <v>492</v>
      </c>
      <c r="I86" s="1280"/>
      <c r="J86" s="1280"/>
      <c r="K86" s="1280"/>
      <c r="L86" s="1280"/>
      <c r="M86" s="1280"/>
      <c r="N86" s="1280"/>
      <c r="O86" s="1280"/>
      <c r="P86" s="1280"/>
      <c r="Q86" s="1280"/>
      <c r="R86" s="1280"/>
      <c r="S86" s="1280"/>
      <c r="T86" s="1280"/>
      <c r="U86" s="1280"/>
      <c r="V86" s="1280"/>
      <c r="W86" s="1280"/>
      <c r="X86" s="1280"/>
      <c r="Y86" s="1280"/>
      <c r="Z86" s="1280"/>
    </row>
    <row r="87" spans="1:26" ht="12.75" customHeight="1">
      <c r="H87" s="1388" t="s">
        <v>2868</v>
      </c>
      <c r="I87" s="1388"/>
      <c r="J87" s="1388"/>
      <c r="K87" s="1388"/>
      <c r="L87" s="1388"/>
      <c r="M87" s="1388"/>
      <c r="N87" s="1388"/>
      <c r="O87" s="1388"/>
      <c r="P87" s="1388"/>
      <c r="Q87" s="1388"/>
      <c r="R87" s="1388"/>
      <c r="S87" s="1388"/>
      <c r="T87" s="1388"/>
      <c r="U87" s="1388"/>
      <c r="V87" s="1388"/>
      <c r="W87" s="1388"/>
      <c r="X87" s="1388"/>
      <c r="Y87" s="1388"/>
      <c r="Z87" s="1388"/>
    </row>
    <row r="88" spans="1:26">
      <c r="H88" s="1910" t="s">
        <v>2870</v>
      </c>
      <c r="I88" s="2212"/>
      <c r="J88" s="2212"/>
      <c r="K88" s="2212"/>
      <c r="L88" s="2212"/>
      <c r="M88" s="2212"/>
      <c r="N88" s="2212"/>
      <c r="O88" s="2212"/>
      <c r="P88" s="2212"/>
      <c r="Q88" s="2212"/>
      <c r="R88" s="2212"/>
      <c r="S88" s="2212"/>
      <c r="T88" s="2212"/>
      <c r="U88" s="2212"/>
      <c r="V88" s="2212"/>
      <c r="W88" s="2212"/>
      <c r="X88" s="2212"/>
      <c r="Y88" s="2212"/>
      <c r="Z88" s="1911"/>
    </row>
    <row r="89" spans="1:26" ht="12.75" customHeight="1">
      <c r="A89" s="2606" t="s">
        <v>617</v>
      </c>
      <c r="B89" s="2606"/>
      <c r="C89" s="2606"/>
      <c r="D89" s="2606"/>
      <c r="E89" s="2606"/>
      <c r="H89" s="1914" t="str">
        <f>"ПН С21 и ПЛ Дачный склад под заказ, подробности у менеджера. Отгружается пачками по 200 листов. Миним. заказ 10 листов. При отгрузке не кратно пачке действует наценка "&amp;(5*Belarus)&amp;" руб./м2 к цене клиента."</f>
        <v>ПН С21 и ПЛ Дачный склад под заказ, подробности у менеджера. Отгружается пачками по 200 листов. Миним. заказ 10 листов. При отгрузке не кратно пачке действует наценка 5 руб./м2 к цене клиента.</v>
      </c>
      <c r="I89" s="2213"/>
      <c r="J89" s="2213"/>
      <c r="K89" s="2213"/>
      <c r="L89" s="2213"/>
      <c r="M89" s="2213"/>
      <c r="N89" s="2213"/>
      <c r="O89" s="2213"/>
      <c r="P89" s="2213"/>
      <c r="Q89" s="2213"/>
      <c r="R89" s="2213"/>
      <c r="S89" s="2213"/>
      <c r="T89" s="2213"/>
      <c r="U89" s="2213"/>
      <c r="V89" s="2213"/>
      <c r="W89" s="2213"/>
      <c r="X89" s="2213"/>
      <c r="Y89" s="2213"/>
      <c r="Z89" s="1915"/>
    </row>
    <row r="90" spans="1:26" ht="12.75" customHeight="1">
      <c r="A90" s="1351" t="s">
        <v>498</v>
      </c>
      <c r="B90" s="1351"/>
      <c r="C90" s="1351"/>
      <c r="D90" s="1285" t="str">
        <f>(1000*Belarus)&amp;" руб."</f>
        <v>1000 руб.</v>
      </c>
      <c r="E90" s="1285"/>
      <c r="H90" s="1398" t="s">
        <v>2872</v>
      </c>
      <c r="I90" s="1398"/>
      <c r="J90" s="1398"/>
      <c r="K90" s="1398"/>
      <c r="L90" s="1398"/>
      <c r="M90" s="1398"/>
      <c r="N90" s="1398"/>
      <c r="O90" s="1398"/>
      <c r="P90" s="1398"/>
      <c r="Q90" s="1398"/>
      <c r="R90" s="1398"/>
      <c r="S90" s="1398"/>
      <c r="T90" s="1398"/>
      <c r="U90" s="1398"/>
      <c r="V90" s="1398"/>
      <c r="W90" s="1398"/>
      <c r="X90" s="1398"/>
      <c r="Y90" s="1398"/>
      <c r="Z90" s="1398"/>
    </row>
    <row r="91" spans="1:26" ht="12.75" customHeight="1">
      <c r="A91" s="1351" t="s">
        <v>501</v>
      </c>
      <c r="B91" s="1351"/>
      <c r="C91" s="1351"/>
      <c r="D91" s="1285" t="str">
        <f>(200*Belarus)&amp;" руб."</f>
        <v>200 руб.</v>
      </c>
      <c r="E91" s="1285"/>
      <c r="H91" s="1352" t="s">
        <v>483</v>
      </c>
      <c r="I91" s="1352"/>
      <c r="J91" s="1352"/>
      <c r="K91" s="131" t="s">
        <v>484</v>
      </c>
      <c r="L91" s="1398" t="s">
        <v>485</v>
      </c>
      <c r="M91" s="1398"/>
      <c r="N91" s="1398"/>
      <c r="O91" s="1398"/>
      <c r="P91" s="1398"/>
      <c r="Q91" s="1352" t="s">
        <v>483</v>
      </c>
      <c r="R91" s="1352"/>
      <c r="S91" s="1352"/>
      <c r="T91" s="1352" t="s">
        <v>484</v>
      </c>
      <c r="U91" s="1352"/>
      <c r="V91" s="1398" t="s">
        <v>485</v>
      </c>
      <c r="W91" s="1398"/>
      <c r="X91" s="1398"/>
      <c r="Y91" s="1398"/>
      <c r="Z91" s="1398"/>
    </row>
    <row r="92" spans="1:26" ht="12.75" customHeight="1">
      <c r="H92" s="1280" t="s">
        <v>603</v>
      </c>
      <c r="I92" s="1280"/>
      <c r="J92" s="1280"/>
      <c r="K92" s="129">
        <v>0.7</v>
      </c>
      <c r="L92" s="1716" t="s">
        <v>488</v>
      </c>
      <c r="M92" s="1716"/>
      <c r="N92" s="1716"/>
      <c r="O92" s="1716"/>
      <c r="P92" s="1716"/>
      <c r="Q92" s="1280" t="s">
        <v>611</v>
      </c>
      <c r="R92" s="1280"/>
      <c r="S92" s="1280"/>
      <c r="T92" s="1331">
        <v>0.15</v>
      </c>
      <c r="U92" s="1331"/>
      <c r="V92" s="1716" t="s">
        <v>488</v>
      </c>
      <c r="W92" s="1716"/>
      <c r="X92" s="1716"/>
      <c r="Y92" s="1716"/>
      <c r="Z92" s="1716"/>
    </row>
    <row r="93" spans="1:26">
      <c r="H93" s="1280" t="s">
        <v>607</v>
      </c>
      <c r="I93" s="1280"/>
      <c r="J93" s="1280"/>
      <c r="K93" s="129">
        <v>0.3</v>
      </c>
      <c r="L93" s="1716"/>
      <c r="M93" s="1716"/>
      <c r="N93" s="1716"/>
      <c r="O93" s="1716"/>
      <c r="P93" s="1716"/>
      <c r="Q93" s="1280" t="s">
        <v>614</v>
      </c>
      <c r="R93" s="1280"/>
      <c r="S93" s="1280"/>
      <c r="T93" s="1331" t="s">
        <v>496</v>
      </c>
      <c r="U93" s="1331"/>
      <c r="V93" s="1281" t="s">
        <v>497</v>
      </c>
      <c r="W93" s="1281"/>
      <c r="X93" s="1281"/>
      <c r="Y93" s="1281"/>
      <c r="Z93" s="1281"/>
    </row>
    <row r="94" spans="1:26">
      <c r="H94" s="2605" t="s">
        <v>709</v>
      </c>
      <c r="I94" s="2605"/>
      <c r="J94" s="2605"/>
      <c r="K94" s="2605"/>
      <c r="L94" s="2605"/>
      <c r="M94" s="2605"/>
      <c r="N94" s="2605"/>
      <c r="O94" s="2605"/>
      <c r="P94" s="2605"/>
      <c r="Q94" s="1365" t="s">
        <v>616</v>
      </c>
      <c r="R94" s="1366"/>
      <c r="S94" s="1366"/>
      <c r="T94" s="1366"/>
      <c r="U94" s="1366"/>
      <c r="V94" s="1366"/>
      <c r="W94" s="1366"/>
      <c r="X94" s="1366"/>
      <c r="Y94" s="1366"/>
      <c r="Z94" s="1367"/>
    </row>
    <row r="98" spans="1:26" ht="21.75" customHeight="1">
      <c r="A98" s="1595" t="s">
        <v>508</v>
      </c>
      <c r="B98" s="1595"/>
      <c r="C98" s="1595"/>
      <c r="D98" s="1339" t="s">
        <v>320</v>
      </c>
      <c r="E98" s="1339"/>
      <c r="F98" s="1339"/>
      <c r="G98" s="1339" t="s">
        <v>3583</v>
      </c>
      <c r="H98" s="1339" t="s">
        <v>321</v>
      </c>
      <c r="I98" s="1339"/>
      <c r="J98" s="1339"/>
      <c r="K98" s="1339"/>
      <c r="L98" s="1339" t="s">
        <v>619</v>
      </c>
      <c r="M98" s="1339" t="s">
        <v>323</v>
      </c>
      <c r="N98" s="1339" t="s">
        <v>620</v>
      </c>
      <c r="O98" s="1339" t="s">
        <v>5344</v>
      </c>
      <c r="P98" s="1339" t="s">
        <v>512</v>
      </c>
      <c r="Q98" s="1339" t="s">
        <v>334</v>
      </c>
      <c r="R98" s="1339" t="s">
        <v>335</v>
      </c>
      <c r="S98" s="1339" t="s">
        <v>336</v>
      </c>
      <c r="T98" s="1511" t="s">
        <v>2873</v>
      </c>
      <c r="U98" s="1512"/>
      <c r="V98" s="1512"/>
      <c r="W98" s="1512"/>
      <c r="X98" s="1513"/>
      <c r="Y98" s="1307" t="s">
        <v>4328</v>
      </c>
      <c r="Z98" s="1307" t="s">
        <v>4327</v>
      </c>
    </row>
    <row r="99" spans="1:26" ht="29.25" customHeight="1">
      <c r="A99" s="1595"/>
      <c r="B99" s="1595"/>
      <c r="C99" s="1595"/>
      <c r="D99" s="1339"/>
      <c r="E99" s="1339"/>
      <c r="F99" s="1339"/>
      <c r="G99" s="1339"/>
      <c r="H99" s="1339"/>
      <c r="I99" s="1339"/>
      <c r="J99" s="1339"/>
      <c r="K99" s="1339"/>
      <c r="L99" s="1339"/>
      <c r="M99" s="1339"/>
      <c r="N99" s="1339"/>
      <c r="O99" s="1339"/>
      <c r="P99" s="1339"/>
      <c r="Q99" s="1339"/>
      <c r="R99" s="1339"/>
      <c r="S99" s="1339"/>
      <c r="T99" s="145">
        <v>0.8</v>
      </c>
      <c r="U99" s="145">
        <v>0.7</v>
      </c>
      <c r="V99" s="145">
        <v>0.65</v>
      </c>
      <c r="W99" s="145">
        <v>0.45</v>
      </c>
      <c r="X99" s="145">
        <v>0.4</v>
      </c>
      <c r="Y99" s="1310"/>
      <c r="Z99" s="1310"/>
    </row>
    <row r="100" spans="1:26" ht="15" customHeight="1">
      <c r="A100" s="1330" t="s">
        <v>519</v>
      </c>
      <c r="B100" s="1330"/>
      <c r="C100" s="1330"/>
      <c r="D100" s="1331">
        <v>0</v>
      </c>
      <c r="E100" s="1331"/>
      <c r="F100" s="1331"/>
      <c r="G100" s="1331">
        <v>0</v>
      </c>
      <c r="H100" s="1331">
        <v>0</v>
      </c>
      <c r="I100" s="1331"/>
      <c r="J100" s="1331"/>
      <c r="K100" s="1331"/>
      <c r="L100" s="1331">
        <v>0</v>
      </c>
      <c r="M100" s="1331">
        <v>0</v>
      </c>
      <c r="N100" s="1331">
        <v>0</v>
      </c>
      <c r="O100" s="129">
        <v>0</v>
      </c>
      <c r="P100" s="1331">
        <v>0</v>
      </c>
      <c r="Q100" s="129">
        <v>0</v>
      </c>
      <c r="R100" s="129">
        <v>0</v>
      </c>
      <c r="S100" s="129">
        <v>0</v>
      </c>
      <c r="T100" s="129">
        <v>0</v>
      </c>
      <c r="U100" s="129">
        <v>0</v>
      </c>
      <c r="V100" s="129">
        <v>0</v>
      </c>
      <c r="W100" s="129">
        <v>0</v>
      </c>
      <c r="X100" s="129">
        <v>0</v>
      </c>
      <c r="Y100" s="129">
        <v>0</v>
      </c>
      <c r="Z100" s="129">
        <v>0</v>
      </c>
    </row>
    <row r="101" spans="1:26">
      <c r="A101" s="1330" t="s">
        <v>520</v>
      </c>
      <c r="B101" s="1330"/>
      <c r="C101" s="1330"/>
      <c r="D101" s="1331"/>
      <c r="E101" s="1331"/>
      <c r="F101" s="1331"/>
      <c r="G101" s="1331"/>
      <c r="H101" s="1331"/>
      <c r="I101" s="1331"/>
      <c r="J101" s="1331"/>
      <c r="K101" s="1331"/>
      <c r="L101" s="1331"/>
      <c r="M101" s="1331"/>
      <c r="N101" s="1331"/>
      <c r="O101" s="129">
        <v>0</v>
      </c>
      <c r="P101" s="1331"/>
      <c r="Q101" s="129">
        <v>0</v>
      </c>
      <c r="R101" s="129">
        <v>0</v>
      </c>
      <c r="S101" s="129">
        <v>0</v>
      </c>
      <c r="T101" s="129">
        <v>0</v>
      </c>
      <c r="U101" s="129">
        <v>0</v>
      </c>
      <c r="V101" s="129">
        <v>0</v>
      </c>
      <c r="W101" s="129">
        <v>0</v>
      </c>
      <c r="X101" s="129">
        <v>0</v>
      </c>
      <c r="Y101" s="129">
        <v>0</v>
      </c>
      <c r="Z101" s="129">
        <v>0</v>
      </c>
    </row>
    <row r="102" spans="1:26">
      <c r="A102" s="1330" t="s">
        <v>4326</v>
      </c>
      <c r="B102" s="1330"/>
      <c r="C102" s="1330"/>
      <c r="D102" s="1331">
        <v>0</v>
      </c>
      <c r="E102" s="1331"/>
      <c r="F102" s="1331"/>
      <c r="G102" s="1331"/>
      <c r="H102" s="1331"/>
      <c r="I102" s="1331"/>
      <c r="J102" s="1331"/>
      <c r="K102" s="1331"/>
      <c r="L102" s="1331"/>
      <c r="M102" s="1331"/>
      <c r="N102" s="1331"/>
      <c r="O102" s="1331"/>
      <c r="P102" s="1331"/>
      <c r="Q102" s="1331"/>
      <c r="R102" s="1331"/>
      <c r="S102" s="1331"/>
      <c r="T102" s="1331"/>
      <c r="U102" s="1331"/>
      <c r="V102" s="1331"/>
      <c r="W102" s="1331"/>
      <c r="X102" s="1331"/>
      <c r="Y102" s="1331"/>
      <c r="Z102" s="1331"/>
    </row>
    <row r="103" spans="1:26">
      <c r="A103" s="1330" t="s">
        <v>2874</v>
      </c>
      <c r="B103" s="1330"/>
      <c r="C103" s="1330"/>
      <c r="D103" s="1331">
        <v>0</v>
      </c>
      <c r="E103" s="1331"/>
      <c r="F103" s="1331"/>
      <c r="G103" s="1331"/>
      <c r="H103" s="1331"/>
      <c r="I103" s="1331"/>
      <c r="J103" s="1331"/>
      <c r="K103" s="1331"/>
      <c r="L103" s="1331"/>
      <c r="M103" s="1331"/>
      <c r="N103" s="1331"/>
      <c r="O103" s="1331"/>
      <c r="P103" s="1331"/>
      <c r="Q103" s="1331"/>
      <c r="R103" s="1331"/>
      <c r="S103" s="1331"/>
      <c r="T103" s="1331"/>
      <c r="U103" s="1331"/>
      <c r="V103" s="1331"/>
      <c r="W103" s="1331"/>
      <c r="X103" s="1331"/>
      <c r="Y103" s="1331"/>
      <c r="Z103" s="1331"/>
    </row>
    <row r="104" spans="1:26">
      <c r="A104" s="1330" t="s">
        <v>666</v>
      </c>
      <c r="B104" s="1330"/>
      <c r="C104" s="1330"/>
      <c r="D104" s="1331">
        <v>0</v>
      </c>
      <c r="E104" s="1331"/>
      <c r="F104" s="1331"/>
      <c r="G104" s="1331"/>
      <c r="H104" s="1331"/>
      <c r="I104" s="1331"/>
      <c r="J104" s="1331"/>
      <c r="K104" s="1331"/>
      <c r="L104" s="1331"/>
      <c r="M104" s="1331"/>
      <c r="N104" s="1331"/>
      <c r="O104" s="1331"/>
      <c r="P104" s="1331"/>
      <c r="Q104" s="1331"/>
      <c r="R104" s="1331"/>
      <c r="S104" s="1331"/>
      <c r="T104" s="1331"/>
      <c r="U104" s="1331"/>
      <c r="V104" s="1331"/>
      <c r="W104" s="1331"/>
      <c r="X104" s="1331"/>
      <c r="Y104" s="1331"/>
      <c r="Z104" s="1331"/>
    </row>
    <row r="106" spans="1:26" ht="12.75" customHeight="1"/>
    <row r="109" spans="1:26" ht="12.75" customHeight="1"/>
    <row r="110" spans="1:26" ht="12.75" customHeight="1"/>
    <row r="111" spans="1:26" ht="12.75" customHeight="1"/>
    <row r="112" spans="1:26" ht="12.75" customHeight="1"/>
    <row r="116" ht="12.75" customHeight="1"/>
    <row r="118" ht="12.75" customHeight="1"/>
    <row r="119" ht="12.75" customHeight="1"/>
    <row r="120" ht="12.75" customHeight="1"/>
    <row r="121" ht="12.75" customHeight="1"/>
    <row r="122" ht="12.75" customHeight="1"/>
    <row r="124" ht="12.75" customHeight="1"/>
    <row r="125" ht="12.75" customHeight="1"/>
    <row r="129" ht="12.75" customHeight="1"/>
  </sheetData>
  <sheetProtection selectLockedCells="1" selectUnlockedCells="1"/>
  <mergeCells count="204">
    <mergeCell ref="A74:C74"/>
    <mergeCell ref="D74:E74"/>
    <mergeCell ref="H74:Z74"/>
    <mergeCell ref="A75:C75"/>
    <mergeCell ref="D80:E80"/>
    <mergeCell ref="H79:Z79"/>
    <mergeCell ref="A79:C79"/>
    <mergeCell ref="D79:E79"/>
    <mergeCell ref="A80:C80"/>
    <mergeCell ref="S56:U56"/>
    <mergeCell ref="V56:Z56"/>
    <mergeCell ref="S63:U63"/>
    <mergeCell ref="V63:Z63"/>
    <mergeCell ref="D84:E84"/>
    <mergeCell ref="H77:Z78"/>
    <mergeCell ref="D75:E75"/>
    <mergeCell ref="H75:Z75"/>
    <mergeCell ref="V61:Z61"/>
    <mergeCell ref="D82:E82"/>
    <mergeCell ref="H81:Z81"/>
    <mergeCell ref="V31:Z35"/>
    <mergeCell ref="H87:Z87"/>
    <mergeCell ref="A76:C76"/>
    <mergeCell ref="D76:E76"/>
    <mergeCell ref="H76:Z76"/>
    <mergeCell ref="D83:E83"/>
    <mergeCell ref="D78:E78"/>
    <mergeCell ref="A85:C85"/>
    <mergeCell ref="H80:Z80"/>
    <mergeCell ref="A90:C90"/>
    <mergeCell ref="D90:E90"/>
    <mergeCell ref="A77:C77"/>
    <mergeCell ref="D77:E77"/>
    <mergeCell ref="A78:C78"/>
    <mergeCell ref="A89:E89"/>
    <mergeCell ref="A84:C84"/>
    <mergeCell ref="D85:E85"/>
    <mergeCell ref="A82:C82"/>
    <mergeCell ref="G100:G101"/>
    <mergeCell ref="M100:M101"/>
    <mergeCell ref="N100:N101"/>
    <mergeCell ref="P98:P99"/>
    <mergeCell ref="Y98:Y99"/>
    <mergeCell ref="Z98:Z99"/>
    <mergeCell ref="T98:X98"/>
    <mergeCell ref="P100:P101"/>
    <mergeCell ref="L98:L99"/>
    <mergeCell ref="L100:L101"/>
    <mergeCell ref="H94:P94"/>
    <mergeCell ref="Q94:Z94"/>
    <mergeCell ref="H93:J93"/>
    <mergeCell ref="Q93:S93"/>
    <mergeCell ref="T93:U93"/>
    <mergeCell ref="V93:Z93"/>
    <mergeCell ref="G98:G99"/>
    <mergeCell ref="M98:M99"/>
    <mergeCell ref="N98:N99"/>
    <mergeCell ref="Q98:Q99"/>
    <mergeCell ref="R98:R99"/>
    <mergeCell ref="S98:S99"/>
    <mergeCell ref="V91:Z91"/>
    <mergeCell ref="H92:J92"/>
    <mergeCell ref="L92:P93"/>
    <mergeCell ref="Q92:S92"/>
    <mergeCell ref="T92:U92"/>
    <mergeCell ref="V92:Z92"/>
    <mergeCell ref="A91:C91"/>
    <mergeCell ref="D91:E91"/>
    <mergeCell ref="H91:J91"/>
    <mergeCell ref="L91:P91"/>
    <mergeCell ref="Q91:S91"/>
    <mergeCell ref="T91:U91"/>
    <mergeCell ref="H90:Z90"/>
    <mergeCell ref="H85:Z85"/>
    <mergeCell ref="H86:Z86"/>
    <mergeCell ref="A81:C81"/>
    <mergeCell ref="D81:E81"/>
    <mergeCell ref="H82:Z82"/>
    <mergeCell ref="H83:Z84"/>
    <mergeCell ref="A83:C83"/>
    <mergeCell ref="H88:Z88"/>
    <mergeCell ref="H89:Z89"/>
    <mergeCell ref="A68:C70"/>
    <mergeCell ref="D68:E70"/>
    <mergeCell ref="H68:Z68"/>
    <mergeCell ref="H73:Z73"/>
    <mergeCell ref="H71:Z71"/>
    <mergeCell ref="A71:C71"/>
    <mergeCell ref="D71:E71"/>
    <mergeCell ref="H72:Z72"/>
    <mergeCell ref="A73:C73"/>
    <mergeCell ref="D73:E73"/>
    <mergeCell ref="S62:U62"/>
    <mergeCell ref="V62:Z62"/>
    <mergeCell ref="D64:Z64"/>
    <mergeCell ref="A65:Z65"/>
    <mergeCell ref="A67:E67"/>
    <mergeCell ref="H67:Z67"/>
    <mergeCell ref="A72:C72"/>
    <mergeCell ref="D72:E72"/>
    <mergeCell ref="V55:Z55"/>
    <mergeCell ref="D57:Z57"/>
    <mergeCell ref="A58:A64"/>
    <mergeCell ref="S58:U58"/>
    <mergeCell ref="V58:Z58"/>
    <mergeCell ref="S59:U59"/>
    <mergeCell ref="V59:Z59"/>
    <mergeCell ref="S60:U60"/>
    <mergeCell ref="V60:Z60"/>
    <mergeCell ref="S61:U61"/>
    <mergeCell ref="A51:A57"/>
    <mergeCell ref="S51:U51"/>
    <mergeCell ref="V51:Z51"/>
    <mergeCell ref="S52:U52"/>
    <mergeCell ref="V52:Z52"/>
    <mergeCell ref="S53:U53"/>
    <mergeCell ref="V53:Z53"/>
    <mergeCell ref="S54:U54"/>
    <mergeCell ref="V54:Z54"/>
    <mergeCell ref="S55:U55"/>
    <mergeCell ref="A49:A50"/>
    <mergeCell ref="B49:B50"/>
    <mergeCell ref="C49:C50"/>
    <mergeCell ref="D49:Z49"/>
    <mergeCell ref="S50:U50"/>
    <mergeCell ref="V50:Z50"/>
    <mergeCell ref="B43:B45"/>
    <mergeCell ref="C43:C45"/>
    <mergeCell ref="S43:U43"/>
    <mergeCell ref="V43:Z43"/>
    <mergeCell ref="S44:U44"/>
    <mergeCell ref="V44:Z44"/>
    <mergeCell ref="S45:U45"/>
    <mergeCell ref="V45:Z45"/>
    <mergeCell ref="B39:C39"/>
    <mergeCell ref="X39:Y39"/>
    <mergeCell ref="V38:W38"/>
    <mergeCell ref="V39:W39"/>
    <mergeCell ref="A41:A42"/>
    <mergeCell ref="B41:B42"/>
    <mergeCell ref="C41:C42"/>
    <mergeCell ref="D41:Z41"/>
    <mergeCell ref="S42:U42"/>
    <mergeCell ref="V42:Z42"/>
    <mergeCell ref="A30:B31"/>
    <mergeCell ref="C30:C31"/>
    <mergeCell ref="D30:Z30"/>
    <mergeCell ref="A32:B32"/>
    <mergeCell ref="A36:Z36"/>
    <mergeCell ref="A37:A38"/>
    <mergeCell ref="B37:C38"/>
    <mergeCell ref="D37:Z37"/>
    <mergeCell ref="X38:Y38"/>
    <mergeCell ref="A35:B35"/>
    <mergeCell ref="A33:B33"/>
    <mergeCell ref="A34:B34"/>
    <mergeCell ref="D25:F25"/>
    <mergeCell ref="D26:F26"/>
    <mergeCell ref="D27:F27"/>
    <mergeCell ref="G7:G9"/>
    <mergeCell ref="A8:C8"/>
    <mergeCell ref="A9:C9"/>
    <mergeCell ref="D28:F28"/>
    <mergeCell ref="A29:Z29"/>
    <mergeCell ref="T7:X7"/>
    <mergeCell ref="Y7:Y8"/>
    <mergeCell ref="O5:O6"/>
    <mergeCell ref="H69:Z70"/>
    <mergeCell ref="A46:Z46"/>
    <mergeCell ref="N5:N6"/>
    <mergeCell ref="P5:R5"/>
    <mergeCell ref="A47:Z47"/>
    <mergeCell ref="A48:Z48"/>
    <mergeCell ref="Z7:Z8"/>
    <mergeCell ref="C4:C6"/>
    <mergeCell ref="A2:T2"/>
    <mergeCell ref="D4:Z4"/>
    <mergeCell ref="D5:F5"/>
    <mergeCell ref="S5:X5"/>
    <mergeCell ref="G5:G6"/>
    <mergeCell ref="H5:K5"/>
    <mergeCell ref="L5:L6"/>
    <mergeCell ref="M5:M6"/>
    <mergeCell ref="T6:X6"/>
    <mergeCell ref="D98:F99"/>
    <mergeCell ref="D100:F101"/>
    <mergeCell ref="O98:O99"/>
    <mergeCell ref="D102:Z102"/>
    <mergeCell ref="A7:C7"/>
    <mergeCell ref="A1:D1"/>
    <mergeCell ref="Y2:Z2"/>
    <mergeCell ref="Y3:Z3"/>
    <mergeCell ref="A4:A6"/>
    <mergeCell ref="B4:B6"/>
    <mergeCell ref="D103:Z103"/>
    <mergeCell ref="D104:Z104"/>
    <mergeCell ref="A98:C99"/>
    <mergeCell ref="A100:C100"/>
    <mergeCell ref="A101:C101"/>
    <mergeCell ref="A102:C102"/>
    <mergeCell ref="A103:C103"/>
    <mergeCell ref="A104:C104"/>
    <mergeCell ref="H98:K99"/>
    <mergeCell ref="H100:K101"/>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44"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39</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5"/>
    <pageSetUpPr fitToPage="1"/>
  </sheetPr>
  <dimension ref="A1:AG91"/>
  <sheetViews>
    <sheetView zoomScale="70" zoomScaleNormal="70" workbookViewId="0">
      <pane xSplit="1" ySplit="10" topLeftCell="B11" activePane="bottomRight" state="frozen"/>
      <selection pane="topRight" activeCell="B1" sqref="B1"/>
      <selection pane="bottomLeft" activeCell="A11" sqref="A11"/>
      <selection pane="bottomRight" activeCell="A2" sqref="A2:T2"/>
    </sheetView>
  </sheetViews>
  <sheetFormatPr defaultRowHeight="12.75"/>
  <cols>
    <col min="1" max="1" width="53.140625" style="54" customWidth="1"/>
    <col min="2" max="2" width="15.85546875" style="54" customWidth="1"/>
    <col min="3" max="3" width="11.85546875" style="54" customWidth="1"/>
    <col min="4" max="4" width="9.5703125" style="54" customWidth="1"/>
    <col min="5" max="5" width="11.85546875" style="54" customWidth="1"/>
    <col min="6" max="6" width="11.5703125" style="54" customWidth="1"/>
    <col min="7" max="7" width="10.42578125" style="54" customWidth="1"/>
    <col min="8" max="8" width="10.5703125" style="54" customWidth="1"/>
    <col min="9" max="9" width="10" style="54" customWidth="1"/>
    <col min="10" max="10" width="10.140625" style="54" customWidth="1"/>
    <col min="11" max="11" width="11.140625" style="54" customWidth="1"/>
    <col min="12" max="12" width="10.85546875" style="54" customWidth="1"/>
    <col min="13" max="14" width="11" style="54" customWidth="1"/>
    <col min="15" max="15" width="13.140625" style="54" customWidth="1"/>
    <col min="16" max="16" width="10.28515625" style="54" customWidth="1"/>
    <col min="17" max="17" width="10.5703125" style="54" customWidth="1"/>
    <col min="18" max="18" width="10.7109375" style="54" customWidth="1"/>
    <col min="19" max="19" width="7.28515625" style="54" customWidth="1"/>
    <col min="20" max="21" width="9.140625" style="54" customWidth="1"/>
    <col min="22" max="23" width="10.7109375" style="54" customWidth="1"/>
    <col min="24" max="24" width="11.42578125" style="54" customWidth="1"/>
    <col min="25" max="25" width="9.140625" style="54" customWidth="1"/>
    <col min="26" max="16384" width="9.140625" style="54"/>
  </cols>
  <sheetData>
    <row r="1" spans="1:26">
      <c r="A1" s="1506" t="s">
        <v>312</v>
      </c>
      <c r="B1" s="1506"/>
      <c r="C1" s="1506"/>
      <c r="D1" s="1506"/>
    </row>
    <row r="2" spans="1:26" ht="17.25" customHeight="1" thickBot="1">
      <c r="A2" s="1507" t="s">
        <v>524</v>
      </c>
      <c r="B2" s="1507"/>
      <c r="C2" s="1507"/>
      <c r="D2" s="1507"/>
      <c r="E2" s="1507"/>
      <c r="F2" s="1507"/>
      <c r="G2" s="1507"/>
      <c r="H2" s="1507"/>
      <c r="I2" s="1507"/>
      <c r="J2" s="1507"/>
      <c r="K2" s="1507"/>
      <c r="L2" s="1507"/>
      <c r="M2" s="1507"/>
      <c r="N2" s="1507"/>
      <c r="O2" s="1507"/>
      <c r="P2" s="1507"/>
      <c r="Q2" s="1507"/>
      <c r="R2" s="1507"/>
      <c r="S2" s="1507"/>
      <c r="T2" s="1507"/>
      <c r="U2" s="756"/>
      <c r="V2" s="756"/>
      <c r="W2" s="807" t="s">
        <v>313</v>
      </c>
      <c r="X2" s="1492">
        <v>43301</v>
      </c>
      <c r="Y2" s="1493"/>
    </row>
    <row r="3" spans="1:26" ht="15">
      <c r="A3" s="289"/>
      <c r="B3" s="113"/>
      <c r="G3" s="184"/>
      <c r="U3" s="479"/>
      <c r="W3" s="343" t="s">
        <v>315</v>
      </c>
      <c r="X3" s="1494">
        <v>43301</v>
      </c>
      <c r="Y3" s="1494"/>
      <c r="Z3" s="873"/>
    </row>
    <row r="4" spans="1:26" ht="13.5" customHeight="1">
      <c r="A4" s="1293" t="s">
        <v>316</v>
      </c>
      <c r="B4" s="1293" t="s">
        <v>525</v>
      </c>
      <c r="C4" s="1293" t="s">
        <v>526</v>
      </c>
      <c r="D4" s="1452" t="s">
        <v>527</v>
      </c>
      <c r="E4" s="1477"/>
      <c r="F4" s="1477"/>
      <c r="G4" s="1477"/>
      <c r="H4" s="1477"/>
      <c r="I4" s="1477"/>
      <c r="J4" s="1477"/>
      <c r="K4" s="1477"/>
      <c r="L4" s="1477"/>
      <c r="M4" s="1477"/>
      <c r="N4" s="1477"/>
      <c r="O4" s="1477"/>
      <c r="P4" s="1477"/>
      <c r="Q4" s="1477"/>
      <c r="R4" s="1477"/>
      <c r="S4" s="1477"/>
      <c r="T4" s="1477"/>
      <c r="U4" s="1477"/>
      <c r="V4" s="1477"/>
      <c r="W4" s="1477"/>
      <c r="X4" s="1477"/>
      <c r="Y4" s="1478"/>
    </row>
    <row r="5" spans="1:26" ht="15" customHeight="1">
      <c r="A5" s="1293"/>
      <c r="B5" s="1293"/>
      <c r="C5" s="1293"/>
      <c r="D5" s="1452" t="s">
        <v>320</v>
      </c>
      <c r="E5" s="1477"/>
      <c r="F5" s="1477"/>
      <c r="G5" s="1452" t="s">
        <v>321</v>
      </c>
      <c r="H5" s="1477"/>
      <c r="I5" s="1477"/>
      <c r="J5" s="1478"/>
      <c r="K5" s="1495" t="s">
        <v>6295</v>
      </c>
      <c r="L5" s="1495" t="s">
        <v>323</v>
      </c>
      <c r="M5" s="1495" t="s">
        <v>620</v>
      </c>
      <c r="N5" s="1495" t="s">
        <v>5376</v>
      </c>
      <c r="O5" s="1452" t="s">
        <v>324</v>
      </c>
      <c r="P5" s="1477"/>
      <c r="Q5" s="1478"/>
      <c r="R5" s="1452" t="s">
        <v>325</v>
      </c>
      <c r="S5" s="1477"/>
      <c r="T5" s="1477"/>
      <c r="U5" s="1477"/>
      <c r="V5" s="1477"/>
      <c r="W5" s="1477"/>
      <c r="X5" s="1478"/>
      <c r="Y5" s="814" t="s">
        <v>101</v>
      </c>
    </row>
    <row r="6" spans="1:26" ht="44.25" customHeight="1">
      <c r="A6" s="1459"/>
      <c r="B6" s="1459"/>
      <c r="C6" s="1459"/>
      <c r="D6" s="62" t="s">
        <v>6657</v>
      </c>
      <c r="E6" s="62" t="s">
        <v>6658</v>
      </c>
      <c r="F6" s="60" t="s">
        <v>329</v>
      </c>
      <c r="G6" s="60" t="s">
        <v>330</v>
      </c>
      <c r="H6" s="62" t="s">
        <v>331</v>
      </c>
      <c r="I6" s="62" t="s">
        <v>332</v>
      </c>
      <c r="J6" s="62" t="s">
        <v>333</v>
      </c>
      <c r="K6" s="1496"/>
      <c r="L6" s="1496"/>
      <c r="M6" s="1496"/>
      <c r="N6" s="1496"/>
      <c r="O6" s="62" t="s">
        <v>3703</v>
      </c>
      <c r="P6" s="155" t="s">
        <v>334</v>
      </c>
      <c r="Q6" s="62" t="s">
        <v>335</v>
      </c>
      <c r="R6" s="62" t="s">
        <v>336</v>
      </c>
      <c r="S6" s="1479" t="s">
        <v>289</v>
      </c>
      <c r="T6" s="1517"/>
      <c r="U6" s="1517"/>
      <c r="V6" s="1517"/>
      <c r="W6" s="1517"/>
      <c r="X6" s="1480"/>
      <c r="Y6" s="61" t="s">
        <v>337</v>
      </c>
    </row>
    <row r="7" spans="1:26" ht="15" customHeight="1">
      <c r="A7" s="1524" t="s">
        <v>340</v>
      </c>
      <c r="B7" s="1525"/>
      <c r="C7" s="1526"/>
      <c r="D7" s="64" t="s">
        <v>341</v>
      </c>
      <c r="E7" s="64" t="s">
        <v>341</v>
      </c>
      <c r="F7" s="67" t="s">
        <v>6846</v>
      </c>
      <c r="G7" s="57" t="s">
        <v>342</v>
      </c>
      <c r="H7" s="57" t="s">
        <v>342</v>
      </c>
      <c r="I7" s="57" t="s">
        <v>342</v>
      </c>
      <c r="J7" s="57" t="s">
        <v>342</v>
      </c>
      <c r="K7" s="64" t="s">
        <v>343</v>
      </c>
      <c r="L7" s="64" t="s">
        <v>341</v>
      </c>
      <c r="M7" s="64" t="s">
        <v>341</v>
      </c>
      <c r="N7" s="67" t="s">
        <v>5377</v>
      </c>
      <c r="O7" s="57" t="s">
        <v>344</v>
      </c>
      <c r="P7" s="57" t="s">
        <v>345</v>
      </c>
      <c r="Q7" s="57" t="s">
        <v>345</v>
      </c>
      <c r="R7" s="791" t="s">
        <v>345</v>
      </c>
      <c r="S7" s="1468" t="s">
        <v>346</v>
      </c>
      <c r="T7" s="1469"/>
      <c r="U7" s="1469"/>
      <c r="V7" s="1469"/>
      <c r="W7" s="1469"/>
      <c r="X7" s="1527"/>
      <c r="Y7" s="1459"/>
    </row>
    <row r="8" spans="1:26" ht="15" customHeight="1">
      <c r="A8" s="1518" t="s">
        <v>529</v>
      </c>
      <c r="B8" s="1519"/>
      <c r="C8" s="1520"/>
      <c r="D8" s="70" t="s">
        <v>350</v>
      </c>
      <c r="E8" s="70" t="s">
        <v>350</v>
      </c>
      <c r="F8" s="74" t="s">
        <v>350</v>
      </c>
      <c r="G8" s="72" t="s">
        <v>351</v>
      </c>
      <c r="H8" s="72" t="s">
        <v>352</v>
      </c>
      <c r="I8" s="72" t="s">
        <v>353</v>
      </c>
      <c r="J8" s="72" t="s">
        <v>352</v>
      </c>
      <c r="K8" s="70" t="s">
        <v>354</v>
      </c>
      <c r="L8" s="70" t="s">
        <v>355</v>
      </c>
      <c r="M8" s="70" t="s">
        <v>356</v>
      </c>
      <c r="N8" s="74" t="s">
        <v>5378</v>
      </c>
      <c r="O8" s="72">
        <v>0.45</v>
      </c>
      <c r="P8" s="72" t="s">
        <v>357</v>
      </c>
      <c r="Q8" s="72" t="s">
        <v>352</v>
      </c>
      <c r="R8" s="789" t="s">
        <v>357</v>
      </c>
      <c r="S8" s="70">
        <v>0.8</v>
      </c>
      <c r="T8" s="70">
        <v>0.7</v>
      </c>
      <c r="U8" s="70" t="s">
        <v>3704</v>
      </c>
      <c r="V8" s="1442">
        <v>0.45</v>
      </c>
      <c r="W8" s="1442"/>
      <c r="X8" s="70">
        <v>0.4</v>
      </c>
      <c r="Y8" s="1460"/>
    </row>
    <row r="9" spans="1:26" ht="15" customHeight="1">
      <c r="A9" s="1518" t="s">
        <v>537</v>
      </c>
      <c r="B9" s="1519"/>
      <c r="C9" s="1520"/>
      <c r="D9" s="1442" t="s">
        <v>359</v>
      </c>
      <c r="E9" s="1442" t="s">
        <v>359</v>
      </c>
      <c r="F9" s="1440" t="s">
        <v>359</v>
      </c>
      <c r="G9" s="1444" t="s">
        <v>4086</v>
      </c>
      <c r="H9" s="1444" t="s">
        <v>360</v>
      </c>
      <c r="I9" s="1444" t="s">
        <v>4087</v>
      </c>
      <c r="J9" s="1444" t="s">
        <v>4087</v>
      </c>
      <c r="K9" s="1442" t="s">
        <v>360</v>
      </c>
      <c r="L9" s="1442" t="s">
        <v>4087</v>
      </c>
      <c r="M9" s="1442" t="s">
        <v>4087</v>
      </c>
      <c r="N9" s="1442" t="s">
        <v>4087</v>
      </c>
      <c r="O9" s="1444" t="s">
        <v>361</v>
      </c>
      <c r="P9" s="1444" t="s">
        <v>359</v>
      </c>
      <c r="Q9" s="1444" t="s">
        <v>359</v>
      </c>
      <c r="R9" s="1442" t="s">
        <v>361</v>
      </c>
      <c r="S9" s="1442" t="s">
        <v>361</v>
      </c>
      <c r="T9" s="1442" t="s">
        <v>361</v>
      </c>
      <c r="U9" s="1442" t="s">
        <v>361</v>
      </c>
      <c r="V9" s="1442" t="s">
        <v>361</v>
      </c>
      <c r="W9" s="1442"/>
      <c r="X9" s="1442" t="s">
        <v>362</v>
      </c>
      <c r="Y9" s="1528" t="s">
        <v>362</v>
      </c>
    </row>
    <row r="10" spans="1:26" ht="25.5">
      <c r="A10" s="1521"/>
      <c r="B10" s="1522"/>
      <c r="C10" s="1523"/>
      <c r="D10" s="1443"/>
      <c r="E10" s="1443"/>
      <c r="F10" s="1441"/>
      <c r="G10" s="1445"/>
      <c r="H10" s="1445"/>
      <c r="I10" s="1445"/>
      <c r="J10" s="1445"/>
      <c r="K10" s="1443"/>
      <c r="L10" s="1443"/>
      <c r="M10" s="1443"/>
      <c r="N10" s="1443"/>
      <c r="O10" s="1445"/>
      <c r="P10" s="1445"/>
      <c r="Q10" s="1445"/>
      <c r="R10" s="1443"/>
      <c r="S10" s="1443"/>
      <c r="T10" s="1443"/>
      <c r="U10" s="1443"/>
      <c r="V10" s="78" t="s">
        <v>538</v>
      </c>
      <c r="W10" s="81" t="s">
        <v>4222</v>
      </c>
      <c r="X10" s="1443"/>
      <c r="Y10" s="1529"/>
    </row>
    <row r="11" spans="1:26" ht="12" customHeight="1">
      <c r="A11" s="793" t="s">
        <v>365</v>
      </c>
      <c r="B11" s="794"/>
      <c r="C11" s="794"/>
      <c r="D11" s="794"/>
      <c r="E11" s="794"/>
      <c r="F11" s="794"/>
      <c r="G11" s="794"/>
      <c r="H11" s="794"/>
      <c r="I11" s="794"/>
      <c r="J11" s="794"/>
      <c r="K11" s="794"/>
      <c r="L11" s="794"/>
      <c r="M11" s="794"/>
      <c r="N11" s="794"/>
      <c r="O11" s="794"/>
      <c r="P11" s="794"/>
      <c r="Q11" s="794"/>
      <c r="R11" s="794"/>
      <c r="S11" s="794"/>
      <c r="T11" s="794"/>
      <c r="U11" s="794"/>
      <c r="V11" s="794"/>
      <c r="W11" s="794"/>
      <c r="X11" s="794"/>
      <c r="Y11" s="795"/>
    </row>
    <row r="12" spans="1:26">
      <c r="A12" s="157" t="s">
        <v>539</v>
      </c>
      <c r="B12" s="158" t="s">
        <v>540</v>
      </c>
      <c r="C12" s="158" t="s">
        <v>368</v>
      </c>
      <c r="D12" s="87" t="s">
        <v>369</v>
      </c>
      <c r="E12" s="87">
        <f>ROUND((KvintaPl_Pt-Belaruskv)*Belarus*(1-D87),2)</f>
        <v>640</v>
      </c>
      <c r="F12" s="87">
        <f>ROUND((KvintaPl_Sf-Belaruskv)*Belarus*(1-D87),2)</f>
        <v>663</v>
      </c>
      <c r="G12" s="721">
        <f>ROUND((KvintaPl_Q-Belaruskv)*Belarus*(1-G87),2)</f>
        <v>710</v>
      </c>
      <c r="H12" s="90">
        <f>ROUND((KvintaPl_Ql-Belaruskv)*Belarus*(1-G87),2)</f>
        <v>595</v>
      </c>
      <c r="I12" s="90">
        <f>ROUND((KvintaPl_Vel-Belaruskv)*Belarus*(1-G87),2)</f>
        <v>585</v>
      </c>
      <c r="J12" s="90">
        <f>ROUND((KvintaPl_Atl-Belaruskv)*Belarus*(1-G87),2)</f>
        <v>564</v>
      </c>
      <c r="K12" s="87">
        <f>ROUND((KvintaPl_Pur-Belaruskv)*Belarus*(1-K87),2)</f>
        <v>802</v>
      </c>
      <c r="L12" s="87">
        <f>ROUND((KvintaPl_Pdx-Belaruskv)*Belarus*(1-L87),2)</f>
        <v>541</v>
      </c>
      <c r="M12" s="87">
        <f>ROUND((KvintaPl_Pdxmatt-Belaruskv)*Belarus*(1-M87),2)</f>
        <v>551</v>
      </c>
      <c r="N12" s="87">
        <f>ROUND((KvintaPl_StBarhat-Belaruskv)*Belarus*(1-N87),2)</f>
        <v>515</v>
      </c>
      <c r="O12" s="90" t="s">
        <v>369</v>
      </c>
      <c r="P12" s="90">
        <f>ROUND((KvintaPl_Dr-Belaruskv)*Belarus*(1-P87),2)</f>
        <v>455</v>
      </c>
      <c r="Q12" s="90">
        <f>ROUND((KvintaPl_Sat-Belaruskv)*Belarus*(1-Q87),2)</f>
        <v>439</v>
      </c>
      <c r="R12" s="87" t="s">
        <v>369</v>
      </c>
      <c r="S12" s="114" t="s">
        <v>369</v>
      </c>
      <c r="T12" s="114" t="s">
        <v>369</v>
      </c>
      <c r="U12" s="114" t="s">
        <v>369</v>
      </c>
      <c r="V12" s="114">
        <f>ROUND((KvintaPl_Pe045-Belaruskv)*Belarus*(1-V87),2)</f>
        <v>401</v>
      </c>
      <c r="W12" s="114">
        <f>ROUND(((KvintaPl_Pe045-Belaruskv)+18)*Belarus*(1-V87),2)</f>
        <v>419</v>
      </c>
      <c r="X12" s="87" t="s">
        <v>369</v>
      </c>
      <c r="Y12" s="90" t="s">
        <v>369</v>
      </c>
    </row>
    <row r="13" spans="1:26">
      <c r="A13" s="86" t="s">
        <v>6907</v>
      </c>
      <c r="B13" s="158" t="s">
        <v>540</v>
      </c>
      <c r="C13" s="158">
        <v>0.71499999999999997</v>
      </c>
      <c r="D13" s="87" t="s">
        <v>369</v>
      </c>
      <c r="E13" s="87">
        <f>ROUND((KvintaUno_Pt-Belaruskv)*Belarus*(1-D87),2)</f>
        <v>640</v>
      </c>
      <c r="F13" s="87">
        <f>ROUND((KvintaUno_Sf-Belaruskv)*Belarus*(1-D87),2)</f>
        <v>663</v>
      </c>
      <c r="G13" s="721">
        <f>ROUND((KvintaUno_Q-Belaruskv)*Belarus*(1-G87),2)</f>
        <v>710</v>
      </c>
      <c r="H13" s="721">
        <f>ROUND((KvintaUno_Ql-Belaruskv)*Belarus*(1-G87),2)</f>
        <v>595</v>
      </c>
      <c r="I13" s="90">
        <f>ROUND((KvintaUno_Vel-Belaruskv)*Belarus*(1-G87),2)</f>
        <v>585</v>
      </c>
      <c r="J13" s="90">
        <f>ROUND((KvintaUno_Atl-Belaruskv)*Belarus*(1-G87),2)</f>
        <v>564</v>
      </c>
      <c r="K13" s="87">
        <f>ROUND((KvintaUno_Pur-Belaruskv)*Belarus*(1-K87),2)</f>
        <v>802</v>
      </c>
      <c r="L13" s="87">
        <f>ROUND((KvintaUno_Pdx-Belaruskv)*Belarus*(1-L87),2)</f>
        <v>541</v>
      </c>
      <c r="M13" s="87" t="s">
        <v>369</v>
      </c>
      <c r="N13" s="87">
        <f>ROUND((KvintaUno_StBarhat-Belaruskv)*Belarus*(1-N87),2)</f>
        <v>515</v>
      </c>
      <c r="O13" s="90" t="s">
        <v>369</v>
      </c>
      <c r="P13" s="90">
        <f>ROUND((KvintaUno_Dr-Belaruskv)*Belarus*(1-P87),2)</f>
        <v>455</v>
      </c>
      <c r="Q13" s="90">
        <f>ROUND((KvintaUno_Sat-Belaruskv)*Belarus*(1-Q87),2)</f>
        <v>439</v>
      </c>
      <c r="R13" s="87" t="s">
        <v>369</v>
      </c>
      <c r="S13" s="114" t="s">
        <v>369</v>
      </c>
      <c r="T13" s="114" t="s">
        <v>369</v>
      </c>
      <c r="U13" s="114" t="s">
        <v>369</v>
      </c>
      <c r="V13" s="114">
        <f>ROUND((KvintaUno_Pe045-Belaruskv)*Belarus*(1-V87),2)</f>
        <v>401</v>
      </c>
      <c r="W13" s="114">
        <f>ROUND(((KvintaUno_Pe045-Belaruskv)+18)*Belarus*(1-V87),2)</f>
        <v>419</v>
      </c>
      <c r="X13" s="87" t="s">
        <v>369</v>
      </c>
      <c r="Y13" s="90" t="s">
        <v>369</v>
      </c>
    </row>
    <row r="14" spans="1:26">
      <c r="A14" s="157" t="s">
        <v>541</v>
      </c>
      <c r="B14" s="158" t="s">
        <v>542</v>
      </c>
      <c r="C14" s="158" t="s">
        <v>368</v>
      </c>
      <c r="D14" s="87" t="s">
        <v>369</v>
      </c>
      <c r="E14" s="87">
        <f>ROUND(Kamea_Pt*Belarus*(1-D87),2)</f>
        <v>615</v>
      </c>
      <c r="F14" s="87">
        <f>ROUND(Kamea_Sf*Belarus*(1-D87),2)</f>
        <v>638</v>
      </c>
      <c r="G14" s="721">
        <f>ROUND(Kamea_Q*Belarus*(1-G87),2)</f>
        <v>685</v>
      </c>
      <c r="H14" s="90">
        <f>ROUND(Kamea_Ql*Belarus*(1-G87),2)</f>
        <v>570</v>
      </c>
      <c r="I14" s="90">
        <f>ROUND(Kamea_Vel*Belarus*(1-G87),2)</f>
        <v>560</v>
      </c>
      <c r="J14" s="90">
        <f>ROUND(Kamea_Atl*Belarus*(1-G87),2)</f>
        <v>539</v>
      </c>
      <c r="K14" s="87">
        <f>ROUND(Kamea_Pur*Belarus*(1-K87),2)</f>
        <v>777</v>
      </c>
      <c r="L14" s="87">
        <f>ROUND(Kamea_Pdx*Belarus*(1-L87),2)</f>
        <v>516</v>
      </c>
      <c r="M14" s="87">
        <f>ROUND(Kamea_Pdxmatt*Belarus*(1-M87),2)</f>
        <v>526</v>
      </c>
      <c r="N14" s="87">
        <f>ROUND(Kamea_StBarhat*Belarus*(1-N87),2)</f>
        <v>490</v>
      </c>
      <c r="O14" s="90" t="s">
        <v>369</v>
      </c>
      <c r="P14" s="90">
        <f>ROUND(Kamea_Dr*Belarus*(1-P87),2)</f>
        <v>430</v>
      </c>
      <c r="Q14" s="90">
        <f>ROUND(Kamea_Sat*Belarus*(1-Q87),2)</f>
        <v>414</v>
      </c>
      <c r="R14" s="87" t="s">
        <v>369</v>
      </c>
      <c r="S14" s="114" t="s">
        <v>369</v>
      </c>
      <c r="T14" s="114" t="s">
        <v>369</v>
      </c>
      <c r="U14" s="114" t="s">
        <v>369</v>
      </c>
      <c r="V14" s="114">
        <f>ROUND(Kamea_Pe045*Belarus*(1-V87),2)</f>
        <v>376</v>
      </c>
      <c r="W14" s="114">
        <f>ROUND((Kamea_Pe045+18)*Belarus*(1-V87),2)</f>
        <v>394</v>
      </c>
      <c r="X14" s="87" t="s">
        <v>369</v>
      </c>
      <c r="Y14" s="90" t="s">
        <v>369</v>
      </c>
    </row>
    <row r="15" spans="1:26">
      <c r="A15" s="157" t="s">
        <v>543</v>
      </c>
      <c r="B15" s="158" t="s">
        <v>544</v>
      </c>
      <c r="C15" s="792" t="s">
        <v>368</v>
      </c>
      <c r="D15" s="87" t="s">
        <v>369</v>
      </c>
      <c r="E15" s="87">
        <f>ROUND(Kredo_Pt*Belarus*(1-D87),2)</f>
        <v>615</v>
      </c>
      <c r="F15" s="87">
        <f>ROUND(Kredo_Sf*Belarus*(1-D87),2)</f>
        <v>638</v>
      </c>
      <c r="G15" s="721">
        <f>ROUND(Kredo_Q*Belarus*(1-G87),2)</f>
        <v>685</v>
      </c>
      <c r="H15" s="90">
        <f>ROUND(Kredo_Ql*Belarus*(1-G87),2)</f>
        <v>570</v>
      </c>
      <c r="I15" s="90">
        <f>ROUND(Kredo_Vel*Belarus*(1-G87),2)</f>
        <v>560</v>
      </c>
      <c r="J15" s="90">
        <f>ROUND(Kredo_Atl*Belarus*(1-G87),2)</f>
        <v>539</v>
      </c>
      <c r="K15" s="87">
        <f>ROUND(Kredo_Pur*Belarus*(1-K87),2)</f>
        <v>777</v>
      </c>
      <c r="L15" s="87">
        <f>ROUND(Kredo_Pdx*Belarus*(1-L87),2)</f>
        <v>516</v>
      </c>
      <c r="M15" s="87">
        <f>ROUND(Kredo_Pdxmatt*Belarus*(1-M87),2)</f>
        <v>526</v>
      </c>
      <c r="N15" s="87">
        <f>ROUND(Kredo_StBarhat*Belarus*(1-N87),2)</f>
        <v>490</v>
      </c>
      <c r="O15" s="90" t="str">
        <f>ROUND(Kredo_PtNN*Belarus*(1-O87),2)&amp;" НН"</f>
        <v>555 НН</v>
      </c>
      <c r="P15" s="90">
        <f>ROUND(Kredo_Dr*Belarus*(1-P87),2)</f>
        <v>430</v>
      </c>
      <c r="Q15" s="90">
        <f>ROUND(Kredo_Sat*Belarus*(1-Q87),2)</f>
        <v>414</v>
      </c>
      <c r="R15" s="87" t="s">
        <v>369</v>
      </c>
      <c r="S15" s="114" t="s">
        <v>369</v>
      </c>
      <c r="T15" s="114" t="s">
        <v>369</v>
      </c>
      <c r="U15" s="114" t="s">
        <v>369</v>
      </c>
      <c r="V15" s="114">
        <f>ROUND(Kredo_Pe045*Belarus*(1-V87),2)</f>
        <v>376</v>
      </c>
      <c r="W15" s="114">
        <f>ROUND((Kredo_Pe045+18)*Belarus*(1-V87),2)</f>
        <v>394</v>
      </c>
      <c r="X15" s="87" t="s">
        <v>369</v>
      </c>
      <c r="Y15" s="90" t="s">
        <v>369</v>
      </c>
    </row>
    <row r="16" spans="1:26" ht="33" customHeight="1">
      <c r="A16" s="157" t="s">
        <v>545</v>
      </c>
      <c r="B16" s="158" t="s">
        <v>546</v>
      </c>
      <c r="C16" s="792" t="s">
        <v>376</v>
      </c>
      <c r="D16" s="87" t="s">
        <v>369</v>
      </c>
      <c r="E16" s="87">
        <f>ROUND(Classic_Pt*Belarus*(1-D87),2)</f>
        <v>600</v>
      </c>
      <c r="F16" s="87">
        <f>ROUND(Classic_Sf*Belarus*(1-D87),2)</f>
        <v>623</v>
      </c>
      <c r="G16" s="721">
        <f>ROUND(Classic_Q*Belarus*(1-G87),2)</f>
        <v>670</v>
      </c>
      <c r="H16" s="90">
        <f>ROUND(Classic_Ql*Belarus*(1-G87),2)</f>
        <v>555</v>
      </c>
      <c r="I16" s="90">
        <f>ROUND(Classic_Vel*Belarus*(1-G87),2)</f>
        <v>545</v>
      </c>
      <c r="J16" s="90">
        <f>ROUND(Classic_Atl*Belarus*(1-G87),2)</f>
        <v>524</v>
      </c>
      <c r="K16" s="87">
        <f>ROUND(Classic_Pur*Belarus*(1-K87),2)</f>
        <v>762</v>
      </c>
      <c r="L16" s="87">
        <f>ROUND(Classic_Pdx*Belarus*(1-L87),2)</f>
        <v>501</v>
      </c>
      <c r="M16" s="87">
        <f>ROUND(Classic_Pdxmatt*Belarus*(1-M87),2)</f>
        <v>511</v>
      </c>
      <c r="N16" s="87">
        <f>ROUND(Classic_StBarhat*Belarus*(1-N87),2)</f>
        <v>475</v>
      </c>
      <c r="O16" s="90" t="str">
        <f>ROUND(Classic_PtNN*Belarus*(1-O87),2)&amp;" НН"</f>
        <v>540 НН</v>
      </c>
      <c r="P16" s="90">
        <f>ROUND(Classic_Dr*Belarus*(1-P87),2)</f>
        <v>415</v>
      </c>
      <c r="Q16" s="90">
        <f>ROUND(Classic_Sat*Belarus*(1-Q87),2)</f>
        <v>399</v>
      </c>
      <c r="R16" s="87" t="s">
        <v>369</v>
      </c>
      <c r="S16" s="114" t="s">
        <v>369</v>
      </c>
      <c r="T16" s="114" t="s">
        <v>369</v>
      </c>
      <c r="U16" s="114" t="s">
        <v>369</v>
      </c>
      <c r="V16" s="114">
        <f>ROUND(Classic_Pe045*Belarus*(1-V87),2)</f>
        <v>361</v>
      </c>
      <c r="W16" s="114">
        <f>ROUND((Classic_Pe045+18)*Belarus*(1-V87),2)</f>
        <v>379</v>
      </c>
      <c r="X16" s="163" t="str">
        <f>ROUND(Classic_Pe04*Belarus*(1-X87),2)&amp;" кроме Врн"</f>
        <v>349 кроме Врн</v>
      </c>
      <c r="Y16" s="90" t="s">
        <v>369</v>
      </c>
    </row>
    <row r="17" spans="1:33">
      <c r="A17" s="92" t="s">
        <v>6544</v>
      </c>
      <c r="B17" s="158" t="s">
        <v>6713</v>
      </c>
      <c r="C17" s="792" t="s">
        <v>368</v>
      </c>
      <c r="D17" s="87" t="s">
        <v>369</v>
      </c>
      <c r="E17" s="114" t="s">
        <v>369</v>
      </c>
      <c r="F17" s="114" t="s">
        <v>369</v>
      </c>
      <c r="G17" s="90">
        <f>ROUND((ClassicPl_Q-Belarusclplus)*Belarus*(1-G87),2)</f>
        <v>710</v>
      </c>
      <c r="H17" s="90">
        <f>ROUND((ClassicPl_Ql-Belarusclplus)*Belarus*(1-G87),2)</f>
        <v>595</v>
      </c>
      <c r="I17" s="90">
        <f>ROUND((ClassicPl_Vel-Belarusclplus)*Belarus*(1-G87),2)</f>
        <v>585</v>
      </c>
      <c r="J17" s="90">
        <f>ROUND((ClassicPl_Atl-Belarusclplus)*Belarus*(1-G87),2)</f>
        <v>564</v>
      </c>
      <c r="K17" s="87">
        <f>ROUND((ClassicPl_Pur-Belarusclplus)*Belarus*(1-K87),2)</f>
        <v>802</v>
      </c>
      <c r="L17" s="87">
        <f>ROUND((ClassicPl_Pdx-Belarusclplus)*Belarus*(1-L87),2)</f>
        <v>541</v>
      </c>
      <c r="M17" s="87" t="s">
        <v>369</v>
      </c>
      <c r="N17" s="87">
        <f>ROUND((ClassicPl_StBarhat-Belarusclplus)*Belarus*(1-N87),2)</f>
        <v>515</v>
      </c>
      <c r="O17" s="90" t="s">
        <v>369</v>
      </c>
      <c r="P17" s="90">
        <f>ROUND((ClassicPl_Dr-Belarusclplus)*Belarus*(1-P87),2)</f>
        <v>455</v>
      </c>
      <c r="Q17" s="90">
        <f>ROUND((ClassicPl_Sat-Belarusclplus)*Belarus*(1-Q87),2)</f>
        <v>439</v>
      </c>
      <c r="R17" s="87" t="s">
        <v>369</v>
      </c>
      <c r="S17" s="114" t="s">
        <v>369</v>
      </c>
      <c r="T17" s="114" t="s">
        <v>369</v>
      </c>
      <c r="U17" s="114" t="s">
        <v>369</v>
      </c>
      <c r="V17" s="114" t="s">
        <v>369</v>
      </c>
      <c r="W17" s="114" t="s">
        <v>369</v>
      </c>
      <c r="X17" s="87" t="s">
        <v>369</v>
      </c>
      <c r="Y17" s="90" t="s">
        <v>369</v>
      </c>
    </row>
    <row r="18" spans="1:33" ht="25.5">
      <c r="A18" s="157" t="s">
        <v>547</v>
      </c>
      <c r="B18" s="158" t="s">
        <v>546</v>
      </c>
      <c r="C18" s="792" t="s">
        <v>376</v>
      </c>
      <c r="D18" s="87" t="s">
        <v>369</v>
      </c>
      <c r="E18" s="87" t="s">
        <v>369</v>
      </c>
      <c r="F18" s="87" t="s">
        <v>369</v>
      </c>
      <c r="G18" s="721" t="s">
        <v>369</v>
      </c>
      <c r="H18" s="90" t="s">
        <v>369</v>
      </c>
      <c r="I18" s="90" t="s">
        <v>369</v>
      </c>
      <c r="J18" s="90" t="s">
        <v>369</v>
      </c>
      <c r="K18" s="87" t="s">
        <v>369</v>
      </c>
      <c r="L18" s="87" t="s">
        <v>369</v>
      </c>
      <c r="M18" s="87" t="s">
        <v>369</v>
      </c>
      <c r="N18" s="87" t="s">
        <v>369</v>
      </c>
      <c r="O18" s="90" t="s">
        <v>369</v>
      </c>
      <c r="P18" s="90">
        <f>ROUND(Modern_Dr*Belarus*(1-P87),2)</f>
        <v>415</v>
      </c>
      <c r="Q18" s="90" t="s">
        <v>369</v>
      </c>
      <c r="R18" s="87" t="s">
        <v>369</v>
      </c>
      <c r="S18" s="114" t="s">
        <v>369</v>
      </c>
      <c r="T18" s="114" t="s">
        <v>369</v>
      </c>
      <c r="U18" s="114" t="s">
        <v>369</v>
      </c>
      <c r="V18" s="114">
        <f>ROUND(Modern_Pe045*Belarus*(1-V87),2)</f>
        <v>361</v>
      </c>
      <c r="W18" s="114">
        <f>ROUND((Modern_Pe045+18)*Belarus*(1-V87),2)</f>
        <v>379</v>
      </c>
      <c r="X18" s="87">
        <f>ROUND(Modern_Pe04*Belarus*(1-X87),2)</f>
        <v>349</v>
      </c>
      <c r="Y18" s="90" t="s">
        <v>369</v>
      </c>
    </row>
    <row r="19" spans="1:33">
      <c r="A19" s="159" t="s">
        <v>3706</v>
      </c>
      <c r="B19" s="158" t="s">
        <v>548</v>
      </c>
      <c r="C19" s="158" t="s">
        <v>379</v>
      </c>
      <c r="D19" s="87" t="s">
        <v>369</v>
      </c>
      <c r="E19" s="87">
        <f>ROUND(Sofit_Pt*Belarus*(1-D91),2)</f>
        <v>946</v>
      </c>
      <c r="F19" s="87">
        <f>ROUND(Sofit_Sf*Belarus*(1-D91),2)</f>
        <v>1004</v>
      </c>
      <c r="G19" s="721">
        <f>ROUND(Sofit_Q*Belarus*(1-D91),2)</f>
        <v>1015</v>
      </c>
      <c r="H19" s="90">
        <f>ROUND(Sofit_Ql*Belarus*(1-D91),2)</f>
        <v>861</v>
      </c>
      <c r="I19" s="90">
        <f>ROUND(Sofit_Vel*Belarus*(1-D91),2)</f>
        <v>838</v>
      </c>
      <c r="J19" s="90">
        <f>ROUND(Sofit_Atl*Belarus*(1-D91),2)</f>
        <v>808</v>
      </c>
      <c r="K19" s="87">
        <f>ROUND(Sofit_Pur*Belarus*(1-D91),2)</f>
        <v>1245</v>
      </c>
      <c r="L19" s="87">
        <f>ROUND(Sofit_Pdx*Belarus*(1-D91),2)</f>
        <v>805</v>
      </c>
      <c r="M19" s="87">
        <f>ROUND(Sofit_Pdxmatt*Belarus*(1-D91),2)</f>
        <v>815</v>
      </c>
      <c r="N19" s="87">
        <f>ROUND(Sofit_StBarhat*Belarus*(1-D91),2)</f>
        <v>767</v>
      </c>
      <c r="O19" s="90" t="s">
        <v>369</v>
      </c>
      <c r="P19" s="90">
        <f>ROUND(Sofit_Dr*Belarus*(1-D91),2)</f>
        <v>648</v>
      </c>
      <c r="Q19" s="90">
        <f>ROUND(Sofit_Sat*Belarus*(1-D91),2)</f>
        <v>681</v>
      </c>
      <c r="R19" s="87" t="s">
        <v>369</v>
      </c>
      <c r="S19" s="114" t="s">
        <v>369</v>
      </c>
      <c r="T19" s="114" t="s">
        <v>369</v>
      </c>
      <c r="U19" s="114" t="s">
        <v>369</v>
      </c>
      <c r="V19" s="114">
        <f>ROUND(Sofit_Pe045*Belarus*(1-D91),2)</f>
        <v>620</v>
      </c>
      <c r="W19" s="114">
        <f>ROUND((Sofit_Pe045+18)*Belarus*(1-D91),2)</f>
        <v>638</v>
      </c>
      <c r="X19" s="87" t="s">
        <v>369</v>
      </c>
      <c r="Y19" s="90" t="s">
        <v>369</v>
      </c>
    </row>
    <row r="20" spans="1:33">
      <c r="A20" s="160" t="s">
        <v>3707</v>
      </c>
      <c r="B20" s="158" t="s">
        <v>549</v>
      </c>
      <c r="C20" s="158" t="s">
        <v>381</v>
      </c>
      <c r="D20" s="87" t="s">
        <v>369</v>
      </c>
      <c r="E20" s="87">
        <f>ROUND(Falz2_Pt*Belarus*(1-D87),2)</f>
        <v>585</v>
      </c>
      <c r="F20" s="87">
        <f>ROUND(Falz2_Sf*Belarus*(1-D87),2)</f>
        <v>626</v>
      </c>
      <c r="G20" s="721">
        <f>ROUND(Falz2_Q*Belarus*(1-G87),2)</f>
        <v>656</v>
      </c>
      <c r="H20" s="90">
        <f>ROUND(Falz2_Ql*Belarus*(1-G87),2)</f>
        <v>564</v>
      </c>
      <c r="I20" s="90">
        <f>ROUND(Falz2_Vel*Belarus*(1-G87),2)</f>
        <v>553</v>
      </c>
      <c r="J20" s="90">
        <f>ROUND(Falz2_Atl*Belarus*(1-G87),2)</f>
        <v>533</v>
      </c>
      <c r="K20" s="87">
        <f>ROUND(Falz2_Pur*Belarus*(1-K87),2)</f>
        <v>733</v>
      </c>
      <c r="L20" s="87">
        <f>ROUND(Falz2_Pdx*Belarus*(1-L87),2)</f>
        <v>505</v>
      </c>
      <c r="M20" s="87">
        <f>ROUND(Falz2_Pdxmatt*Belarus*(1-M87),2)</f>
        <v>515</v>
      </c>
      <c r="N20" s="87">
        <f>ROUND(Falz2_StBarhat*Belarus*(1-N87),2)</f>
        <v>482</v>
      </c>
      <c r="O20" s="90" t="s">
        <v>369</v>
      </c>
      <c r="P20" s="90">
        <f>ROUND(Falz2_Dr*Belarus*(1-P88),2)</f>
        <v>420</v>
      </c>
      <c r="Q20" s="90">
        <f>ROUND(Falz2_Sat*Belarus*(1-Q88),2)</f>
        <v>409</v>
      </c>
      <c r="R20" s="87" t="s">
        <v>369</v>
      </c>
      <c r="S20" s="114" t="s">
        <v>369</v>
      </c>
      <c r="T20" s="114">
        <f>ROUND(Falz2_Pe07*Belarus*(1-T88),2)</f>
        <v>541</v>
      </c>
      <c r="U20" s="114">
        <f>ROUND(Falz2_Pe065*Belarus*(1-U88),2)</f>
        <v>523</v>
      </c>
      <c r="V20" s="114">
        <f>ROUND(Falz2_Pe045*Belarus*(1-V88),2)</f>
        <v>377</v>
      </c>
      <c r="W20" s="114">
        <f>ROUND((Falz2_Pe045+18)*Belarus*(1-V88),2)</f>
        <v>395</v>
      </c>
      <c r="X20" s="87" t="s">
        <v>369</v>
      </c>
      <c r="Y20" s="90" t="s">
        <v>369</v>
      </c>
    </row>
    <row r="21" spans="1:33">
      <c r="A21" s="160" t="s">
        <v>3708</v>
      </c>
      <c r="B21" s="158" t="s">
        <v>550</v>
      </c>
      <c r="C21" s="158" t="s">
        <v>381</v>
      </c>
      <c r="D21" s="87" t="s">
        <v>369</v>
      </c>
      <c r="E21" s="87">
        <f>ROUND(Klik_Pt*Belarus*(1-D87),2)</f>
        <v>675</v>
      </c>
      <c r="F21" s="87">
        <f>ROUND(Klik_Sf*Belarus*(1-D87),2)</f>
        <v>722</v>
      </c>
      <c r="G21" s="721">
        <f>ROUND(Klik_Q*Belarus*(1-G87),2)</f>
        <v>756</v>
      </c>
      <c r="H21" s="90">
        <f>ROUND(Klik_Ql*Belarus*(1-G87),2)</f>
        <v>650</v>
      </c>
      <c r="I21" s="90">
        <f>ROUND(Klik_Vel*Belarus*(1-G87),2)</f>
        <v>638</v>
      </c>
      <c r="J21" s="90">
        <f>ROUND(Klik_Atl*Belarus*(1-G87),2)</f>
        <v>615</v>
      </c>
      <c r="K21" s="87" t="s">
        <v>369</v>
      </c>
      <c r="L21" s="87">
        <f>ROUND(Klik_Pdx*Belarus*(1-L87),2)</f>
        <v>582</v>
      </c>
      <c r="M21" s="87">
        <f>ROUND(Klik_Pdxmatt*Belarus*(1-M87),2)</f>
        <v>592</v>
      </c>
      <c r="N21" s="87">
        <f>ROUND(Klik_StBarhat*Belarus*(1-N87),2)</f>
        <v>556</v>
      </c>
      <c r="O21" s="90" t="s">
        <v>369</v>
      </c>
      <c r="P21" s="162">
        <f>ROUND(Klik_Dr*Belarus*(1-P88),2)</f>
        <v>484</v>
      </c>
      <c r="Q21" s="162">
        <f>ROUND(Klik_Sat*Belarus*(1-Q88),2)</f>
        <v>472</v>
      </c>
      <c r="R21" s="87" t="s">
        <v>369</v>
      </c>
      <c r="S21" s="114" t="s">
        <v>369</v>
      </c>
      <c r="T21" s="114">
        <f>ROUND(Klik_Pe07*Belarus*(1-T88),2)</f>
        <v>623</v>
      </c>
      <c r="U21" s="114">
        <f>ROUND(Klik_Pe065*Belarus*(1-U88),2)</f>
        <v>603</v>
      </c>
      <c r="V21" s="114">
        <f>ROUND(Klik_Pe045*Belarus*(1-V88),2)</f>
        <v>435</v>
      </c>
      <c r="W21" s="114">
        <f>ROUND((Klik_Pe045+18)*Belarus*(1-V88),2)</f>
        <v>453</v>
      </c>
      <c r="X21" s="87" t="s">
        <v>369</v>
      </c>
      <c r="Y21" s="90" t="s">
        <v>369</v>
      </c>
    </row>
    <row r="22" spans="1:33" ht="25.5">
      <c r="A22" s="160" t="s">
        <v>6646</v>
      </c>
      <c r="B22" s="792" t="s">
        <v>551</v>
      </c>
      <c r="C22" s="158" t="s">
        <v>381</v>
      </c>
      <c r="D22" s="87" t="s">
        <v>369</v>
      </c>
      <c r="E22" s="87">
        <f>ROUND(Klik_mini_Pt*Belarus*(1-D87),2)</f>
        <v>730</v>
      </c>
      <c r="F22" s="87">
        <f>ROUND(Klik_mini_Sf*Belarus*(1-D87),2)</f>
        <v>782</v>
      </c>
      <c r="G22" s="721">
        <f>ROUND(Klik_mini_Q*Belarus*(1-G87),2)</f>
        <v>819</v>
      </c>
      <c r="H22" s="90">
        <f>ROUND(Klik_mini_Ql*Belarus*(1-G87),2)</f>
        <v>704</v>
      </c>
      <c r="I22" s="90">
        <f>ROUND(Klik_mini_Vel*Belarus*(1-G87),2)</f>
        <v>691</v>
      </c>
      <c r="J22" s="90">
        <f>ROUND(Klik_mini_Atl*Belarus*(1-G87),2)</f>
        <v>667</v>
      </c>
      <c r="K22" s="87" t="s">
        <v>369</v>
      </c>
      <c r="L22" s="87">
        <f>ROUND(Klik_mini_Pdx*Belarus*(1-L87),2)</f>
        <v>631</v>
      </c>
      <c r="M22" s="87">
        <f>ROUND(Klik_mini_Pdxmatt*Belarus*(1-M87),2)</f>
        <v>641</v>
      </c>
      <c r="N22" s="87">
        <f>ROUND(Klik_mini_StBarhat*Belarus*(1-N87),2)</f>
        <v>603</v>
      </c>
      <c r="O22" s="90" t="s">
        <v>369</v>
      </c>
      <c r="P22" s="162">
        <f>ROUND(Klik_mini_Dr*Belarus*(1-P88),2)</f>
        <v>524</v>
      </c>
      <c r="Q22" s="162">
        <f>ROUND(Klik_mini_Sat*Belarus*(1-Q88),2)</f>
        <v>511</v>
      </c>
      <c r="R22" s="87" t="s">
        <v>369</v>
      </c>
      <c r="S22" s="114" t="s">
        <v>369</v>
      </c>
      <c r="T22" s="114">
        <f>ROUND(Klik_mini_Pe07*Belarus*(1-T88),2)</f>
        <v>675</v>
      </c>
      <c r="U22" s="114">
        <f>ROUND(Klik_mini_Pe065*Belarus*(1-U88),2)</f>
        <v>654</v>
      </c>
      <c r="V22" s="114">
        <f>ROUND(Klik_mini_Pe045*Belarus*(1-V88),2)</f>
        <v>471</v>
      </c>
      <c r="W22" s="114">
        <f>ROUND((Klik_mini_Pe045+18)*Belarus*(1-V88),2)</f>
        <v>489</v>
      </c>
      <c r="X22" s="87" t="s">
        <v>369</v>
      </c>
      <c r="Y22" s="90" t="s">
        <v>369</v>
      </c>
    </row>
    <row r="23" spans="1:33">
      <c r="A23" s="793" t="s">
        <v>385</v>
      </c>
      <c r="B23" s="794"/>
      <c r="C23" s="794"/>
      <c r="D23" s="794"/>
      <c r="E23" s="794"/>
      <c r="F23" s="794"/>
      <c r="G23" s="794"/>
      <c r="H23" s="794"/>
      <c r="I23" s="794"/>
      <c r="J23" s="794"/>
      <c r="K23" s="794"/>
      <c r="L23" s="794"/>
      <c r="M23" s="794"/>
      <c r="N23" s="794"/>
      <c r="O23" s="794"/>
      <c r="P23" s="794"/>
      <c r="Q23" s="794"/>
      <c r="R23" s="794"/>
      <c r="S23" s="794"/>
      <c r="T23" s="794"/>
      <c r="U23" s="794"/>
      <c r="V23" s="794"/>
      <c r="W23" s="794"/>
      <c r="X23" s="794"/>
      <c r="Y23" s="795"/>
    </row>
    <row r="24" spans="1:33">
      <c r="A24" s="161" t="s">
        <v>98</v>
      </c>
      <c r="B24" s="158" t="s">
        <v>552</v>
      </c>
      <c r="C24" s="158" t="s">
        <v>387</v>
      </c>
      <c r="D24" s="87">
        <f>ROUND(PnC10_Ptdp*Belarus*(1-D87),2)</f>
        <v>702</v>
      </c>
      <c r="E24" s="87">
        <f>ROUND(PnC10_Pt*Belarus*(1-D87),2)</f>
        <v>581</v>
      </c>
      <c r="F24" s="87">
        <f>ROUND(PnC10_Sf*Belarus*(1-D87),2)</f>
        <v>609</v>
      </c>
      <c r="G24" s="721">
        <f>ROUND(PnC10_Q*Belarus*(1-G87),2)</f>
        <v>641</v>
      </c>
      <c r="H24" s="90">
        <f>ROUND(PnC10_Ql*Belarus*(1-G87),2)</f>
        <v>543</v>
      </c>
      <c r="I24" s="90">
        <f>ROUND(PnC10_Vel*Belarus*(1-G87),2)</f>
        <v>532</v>
      </c>
      <c r="J24" s="90">
        <f>ROUND(PnC10_Atl*Belarus*(1-G87),2)</f>
        <v>510</v>
      </c>
      <c r="K24" s="87">
        <f>ROUND(PnC10_Pur*Belarus*(1-K87),2)</f>
        <v>723</v>
      </c>
      <c r="L24" s="87">
        <f>ROUND(PnC10_Pdx*Belarus*(1-L87),2)</f>
        <v>481</v>
      </c>
      <c r="M24" s="87">
        <f>ROUND(PnC10_Pdxmatt*Belarus*(1-M87),2)</f>
        <v>491</v>
      </c>
      <c r="N24" s="87">
        <f>ROUND(PnC10_StBarhat*Belarus*(1-N87),2)</f>
        <v>457</v>
      </c>
      <c r="O24" s="90" t="str">
        <f>ROUND(PnC10_PtNN*Belarus*(1-O87),2)&amp;" НН"</f>
        <v>513 НН</v>
      </c>
      <c r="P24" s="90">
        <f>ROUND(PnC10_Dr*Belarus*(1-P89),2)</f>
        <v>395</v>
      </c>
      <c r="Q24" s="90">
        <f>ROUND(PnC10_Sat*Belarus*(1-Q89),2)</f>
        <v>379</v>
      </c>
      <c r="R24" s="114">
        <f>ROUND(PnC10_PEdp*Belarus*(1-R89),2)</f>
        <v>372</v>
      </c>
      <c r="S24" s="114" t="s">
        <v>369</v>
      </c>
      <c r="T24" s="114" t="str">
        <f>ROUND(PnC10_Pe07*Belarus*(1-T89),2)&amp;" СПБ"</f>
        <v>519 СПБ</v>
      </c>
      <c r="U24" s="114">
        <f>ROUND(PnC10_Pe065*Belarus*(1-U89),2)</f>
        <v>502</v>
      </c>
      <c r="V24" s="114">
        <f>ROUND(PnC10_Pe045*Belarus*(1-V89),2)</f>
        <v>346</v>
      </c>
      <c r="W24" s="87">
        <f>ROUND((PnC10_Pe045+18)*Belarus*(1-V89),2)</f>
        <v>364</v>
      </c>
      <c r="X24" s="87">
        <f>ROUND(PnC10_Pe04*Belarus*(1-X89),2)</f>
        <v>321</v>
      </c>
      <c r="Y24" s="90">
        <f>ROUND(PnC10_dachPr*Belarus*(1-Y89),2)</f>
        <v>274</v>
      </c>
    </row>
    <row r="25" spans="1:33" ht="38.25">
      <c r="A25" s="161" t="s">
        <v>102</v>
      </c>
      <c r="B25" s="792" t="s">
        <v>553</v>
      </c>
      <c r="C25" s="158" t="s">
        <v>387</v>
      </c>
      <c r="D25" s="87">
        <f>ROUND(PnC20_Ptdp*Belarus*(1-D87),2)</f>
        <v>718</v>
      </c>
      <c r="E25" s="87">
        <f>ROUND(PnC20_Pt*Belarus*(1-D87),2)</f>
        <v>595</v>
      </c>
      <c r="F25" s="87">
        <f>ROUND(PnC20_Sf*Belarus*(1-D87),2)</f>
        <v>622</v>
      </c>
      <c r="G25" s="721">
        <f>ROUND(PnC20_Q*Belarus*(1-G87),2)</f>
        <v>655</v>
      </c>
      <c r="H25" s="90">
        <f>ROUND(PnC20_Ql*Belarus*(1-G87),2)</f>
        <v>555</v>
      </c>
      <c r="I25" s="90">
        <f>ROUND(PnC20_Vel*Belarus*(1-G87),2)</f>
        <v>544</v>
      </c>
      <c r="J25" s="90">
        <f>ROUND(PnC20_Atl*Belarus*(1-G87),2)</f>
        <v>522</v>
      </c>
      <c r="K25" s="87">
        <f>ROUND(PnC20_Pur*Belarus*(1-K87),2)</f>
        <v>740</v>
      </c>
      <c r="L25" s="87">
        <f>ROUND(PnC20_Pdx*Belarus*(1-L87),2)</f>
        <v>491</v>
      </c>
      <c r="M25" s="87">
        <f>ROUND(PnC20_Pdxmatt*Belarus*(1-M87),2)</f>
        <v>501</v>
      </c>
      <c r="N25" s="87">
        <f>ROUND(PnC20_StBarhat*Belarus*(1-N87),2)</f>
        <v>467</v>
      </c>
      <c r="O25" s="90" t="str">
        <f>ROUND(PnC20_PtNN*Belarus*(1-O87),2)&amp;" НН"</f>
        <v>524 НН</v>
      </c>
      <c r="P25" s="90">
        <f>ROUND(PnC20_Dr*Belarus*(1-P89),2)</f>
        <v>408</v>
      </c>
      <c r="Q25" s="90">
        <f>ROUND(PnC20_Sat*Belarus*(1-Q89),2)</f>
        <v>387</v>
      </c>
      <c r="R25" s="114">
        <f>ROUND(PnC20_PEdp*Belarus*(1-R89),2)</f>
        <v>384</v>
      </c>
      <c r="S25" s="114" t="s">
        <v>369</v>
      </c>
      <c r="T25" s="114">
        <f>ROUND(PnC20_Pe07*Belarus*(1-T89),2)</f>
        <v>545</v>
      </c>
      <c r="U25" s="114">
        <f>ROUND(PnC20_Pe065*Belarus*(1-U89),2)</f>
        <v>511</v>
      </c>
      <c r="V25" s="114">
        <f>ROUND(PnC20_Pe045*Belarus*(1-V89),2)</f>
        <v>353</v>
      </c>
      <c r="W25" s="87">
        <f>ROUND((PnC20_Pe045+18)*Belarus*(1-V89),2)</f>
        <v>371</v>
      </c>
      <c r="X25" s="87">
        <f>ROUND(PnC20_Pe04*Belarus*(1-X89),2)</f>
        <v>328</v>
      </c>
      <c r="Y25" s="90">
        <f>ROUND(PnC20_dachPr*Belarus*(1-Y89),2)</f>
        <v>279</v>
      </c>
    </row>
    <row r="26" spans="1:33">
      <c r="A26" s="161" t="s">
        <v>106</v>
      </c>
      <c r="B26" s="158" t="s">
        <v>554</v>
      </c>
      <c r="C26" s="158" t="s">
        <v>392</v>
      </c>
      <c r="D26" s="87">
        <f>ROUND(PnC21_Ptdp*Belarus*(1-D87),2)</f>
        <v>786</v>
      </c>
      <c r="E26" s="87">
        <f>ROUND(PnC21_Pt*Belarus*(1-D87),2)</f>
        <v>651</v>
      </c>
      <c r="F26" s="87">
        <f>ROUND(PnC21_Sf*Belarus*(1-D87),2)</f>
        <v>681</v>
      </c>
      <c r="G26" s="721">
        <f>ROUND(PnC21_Q*Belarus*(1-G87),2)</f>
        <v>717</v>
      </c>
      <c r="H26" s="90">
        <f>ROUND(PnC21_Ql*Belarus*(1-G87),2)</f>
        <v>607</v>
      </c>
      <c r="I26" s="90">
        <f>ROUND(PnC21_Vel*Belarus*(1-G87),2)</f>
        <v>595</v>
      </c>
      <c r="J26" s="90">
        <f>ROUND(PnC21_Atl*Belarus*(1-G87),2)</f>
        <v>571</v>
      </c>
      <c r="K26" s="87">
        <f>ROUND(PnC21_Pur*Belarus*(1-K87),2)</f>
        <v>810</v>
      </c>
      <c r="L26" s="87">
        <f>ROUND(PnC21_Pdx*Belarus*(1-L87),2)</f>
        <v>538</v>
      </c>
      <c r="M26" s="87">
        <f>ROUND(PnC21_Pdxmatt*Belarus*(1-M87),2)</f>
        <v>548</v>
      </c>
      <c r="N26" s="87">
        <f>ROUND(PnC21_StBarhat*Belarus*(1-N87),2)</f>
        <v>511</v>
      </c>
      <c r="O26" s="90" t="str">
        <f>ROUND(PnC21_PtNN*Belarus*(1-O87),2)&amp;" НН"</f>
        <v>576 НН</v>
      </c>
      <c r="P26" s="90">
        <f>ROUND(PnC21_Dr*Belarus*(1-P89),2)</f>
        <v>446</v>
      </c>
      <c r="Q26" s="90">
        <f>ROUND(PnC21_Sat*Belarus*(1-Q89),2)</f>
        <v>424</v>
      </c>
      <c r="R26" s="114">
        <f>ROUND(PnC21_PEdp*Belarus*(1-R89),2)</f>
        <v>414</v>
      </c>
      <c r="S26" s="114" t="s">
        <v>369</v>
      </c>
      <c r="T26" s="114">
        <f>ROUND(PnC21_Pe07*Belarus*(1-T89),2)</f>
        <v>596</v>
      </c>
      <c r="U26" s="114">
        <f>ROUND(PnC21_Pe065*Belarus*(1-U89),2)</f>
        <v>559</v>
      </c>
      <c r="V26" s="114">
        <f>ROUND(PnC21_Pe045*Belarus*(1-V89),2)</f>
        <v>386</v>
      </c>
      <c r="W26" s="87">
        <f>ROUND((PnC21_Pe045+18)*Belarus*(1-V89),2)</f>
        <v>404</v>
      </c>
      <c r="X26" s="87">
        <f>ROUND(PnC21_Pe04*Belarus*(1-X89),2)</f>
        <v>359</v>
      </c>
      <c r="Y26" s="90">
        <f>ROUND(PnC21_dachPr*Belarus*(1-Y89),2)</f>
        <v>305</v>
      </c>
    </row>
    <row r="27" spans="1:33">
      <c r="A27" s="161" t="s">
        <v>110</v>
      </c>
      <c r="B27" s="90" t="s">
        <v>555</v>
      </c>
      <c r="C27" s="90" t="s">
        <v>392</v>
      </c>
      <c r="D27" s="87">
        <f>ROUND(PnHC35_Ptdp*Belarus*(1-D87),2)</f>
        <v>785</v>
      </c>
      <c r="E27" s="87" t="str">
        <f>ROUND(PnHC35_Pt*Belarus*(1-D87),2)&amp;" СПБ"</f>
        <v>650 СПБ</v>
      </c>
      <c r="F27" s="87">
        <f>ROUND(PnHC35_Sf*Belarus*(1-D87),2)</f>
        <v>680</v>
      </c>
      <c r="G27" s="721">
        <f>ROUND(PnHC35_Q*Belarus*(1-G87),2)</f>
        <v>716</v>
      </c>
      <c r="H27" s="90">
        <f>ROUND(PnHC35_Ql*Belarus*(1-G87),2)</f>
        <v>606</v>
      </c>
      <c r="I27" s="90">
        <f>ROUND(PnHC35_Vel*Belarus*(1-G87),2)</f>
        <v>594</v>
      </c>
      <c r="J27" s="90">
        <f>ROUND(PnHC35_Atl*Belarus*(1-G87),2)</f>
        <v>570</v>
      </c>
      <c r="K27" s="87">
        <f>ROUND(PnHC35_Pur*Belarus*(1-K87),2)</f>
        <v>809</v>
      </c>
      <c r="L27" s="87">
        <f>ROUND(PnHC35_Pdx*Belarus*(1-L87),2)</f>
        <v>537</v>
      </c>
      <c r="M27" s="87">
        <f>ROUND(PnHC35_Pdxmatt*Belarus*(1-M87),2)</f>
        <v>547</v>
      </c>
      <c r="N27" s="87">
        <f>ROUND(PnHC35_StBarhat*Belarus*(1-N87),2)</f>
        <v>510</v>
      </c>
      <c r="O27" s="90" t="s">
        <v>369</v>
      </c>
      <c r="P27" s="90">
        <f>ROUND(PnHC35_Dr*Belarus*(1-P89),2)</f>
        <v>445</v>
      </c>
      <c r="Q27" s="90">
        <f>ROUND(PnHC35_Sat*Belarus*(1-Q89),2)</f>
        <v>423</v>
      </c>
      <c r="R27" s="114">
        <f>ROUND(PnHC35_PEdp*Belarus*(1-R89),2)</f>
        <v>425</v>
      </c>
      <c r="S27" s="114">
        <f>ROUND(PnHC35_Pe08*Belarus*(1-S89),2)</f>
        <v>653</v>
      </c>
      <c r="T27" s="114">
        <f>ROUND(PnHC35_Pe07*Belarus*(1-T89),2)</f>
        <v>592</v>
      </c>
      <c r="U27" s="114">
        <f>ROUND(PnHC35_Pe065*Belarus*(1-U89),2)</f>
        <v>553</v>
      </c>
      <c r="V27" s="114" t="str">
        <f>ROUND(PnHC35_Pe045*Belarus*(1-V89),2)&amp;" СПБ"</f>
        <v>385 СПБ</v>
      </c>
      <c r="W27" s="87" t="str">
        <f>ROUND((PnHC35_Pe045+18)*Belarus*(1-V89),2)&amp;" СПБ"</f>
        <v>403 СПБ</v>
      </c>
      <c r="X27" s="87" t="s">
        <v>369</v>
      </c>
      <c r="Y27" s="90" t="s">
        <v>369</v>
      </c>
    </row>
    <row r="28" spans="1:33">
      <c r="A28" s="793" t="s">
        <v>397</v>
      </c>
      <c r="B28" s="794"/>
      <c r="C28" s="794"/>
      <c r="D28" s="794"/>
      <c r="E28" s="794"/>
      <c r="F28" s="794"/>
      <c r="G28" s="794"/>
      <c r="H28" s="794"/>
      <c r="I28" s="794"/>
      <c r="J28" s="794"/>
      <c r="K28" s="794"/>
      <c r="L28" s="794"/>
      <c r="M28" s="794"/>
      <c r="N28" s="794"/>
      <c r="O28" s="794"/>
      <c r="P28" s="794"/>
      <c r="Q28" s="794"/>
      <c r="R28" s="794"/>
      <c r="S28" s="794"/>
      <c r="T28" s="794"/>
      <c r="U28" s="794"/>
      <c r="V28" s="794"/>
      <c r="W28" s="794"/>
      <c r="X28" s="794"/>
      <c r="Y28" s="795"/>
    </row>
    <row r="29" spans="1:33">
      <c r="A29" s="161" t="s">
        <v>398</v>
      </c>
      <c r="B29" s="90" t="s">
        <v>556</v>
      </c>
      <c r="C29" s="162" t="s">
        <v>400</v>
      </c>
      <c r="D29" s="87">
        <f>ROUND(ShtripsFalz_Ptdp*Belarus*(1-D87),2)</f>
        <v>698</v>
      </c>
      <c r="E29" s="163">
        <f>ROUND(ShtripsFalz_Pt*Belarus*(1-D87),2)</f>
        <v>580</v>
      </c>
      <c r="F29" s="163">
        <f>ROUND(ShtripsFalz_Sf*Belarus*(1-D87),2)</f>
        <v>607</v>
      </c>
      <c r="G29" s="721">
        <f>ROUND(ShtripsFalz_Q*Belarus*(1-G87),2)</f>
        <v>650</v>
      </c>
      <c r="H29" s="90">
        <f>ROUND(ShtripsFalz_Ql*Belarus*(1-G87),2)</f>
        <v>542</v>
      </c>
      <c r="I29" s="90">
        <f>ROUND(ShtripsFalz_Vel*Belarus*(1-G87),2)</f>
        <v>546</v>
      </c>
      <c r="J29" s="90">
        <f>ROUND(ShtripsFalz_Atl*Belarus*(1-G87),2)</f>
        <v>510</v>
      </c>
      <c r="K29" s="87">
        <f>ROUND(ShtripsFalz_Pur*Belarus*(1-K87),2)</f>
        <v>765</v>
      </c>
      <c r="L29" s="87">
        <f>ROUND(ShtripsFalz_Pdx*Belarus*(1-L87),2)</f>
        <v>481</v>
      </c>
      <c r="M29" s="87">
        <f>ROUND(ShtripsFalz_Pdxmatt*Belarus*(1-M87),2)</f>
        <v>491</v>
      </c>
      <c r="N29" s="87">
        <f>ROUND(ShtripsFalz_StBarhat*Belarus*(1-N87),2)</f>
        <v>457</v>
      </c>
      <c r="O29" s="90" t="str">
        <f>ROUND(ShtripsFalz_PtNN*Belarus*(1-O87),2)&amp;" НН"</f>
        <v>512 НН</v>
      </c>
      <c r="P29" s="90">
        <f>ROUND(ShtripsFalz_Dr*Belarus*(1-P90),2)</f>
        <v>392</v>
      </c>
      <c r="Q29" s="90">
        <f>ROUND(ShtripsFalz_Sat*Belarus*(1-Q90),2)</f>
        <v>381</v>
      </c>
      <c r="R29" s="114">
        <f>ROUND(ShtripsFalz_PEdp*Belarus*(1-R90),2)</f>
        <v>367</v>
      </c>
      <c r="S29" s="114">
        <f>ROUND(ShtripsFalz_Pe08*Belarus*(1-S90),2)</f>
        <v>573</v>
      </c>
      <c r="T29" s="114">
        <f>ROUND(ShtripsFalz_Pe07*Belarus*(1-T90),2)</f>
        <v>508</v>
      </c>
      <c r="U29" s="114">
        <f>ROUND(ShtripsFalz_Pe065*Belarus*(1-U90),2)</f>
        <v>481</v>
      </c>
      <c r="V29" s="114">
        <f>ROUND(ShtripsFalz_Pe045*Belarus*(1-V90),2)</f>
        <v>338</v>
      </c>
      <c r="W29" s="87">
        <f>ROUND((ShtripsFalz_Pe045+18)*Belarus*(1-V90),2)</f>
        <v>356</v>
      </c>
      <c r="X29" s="87">
        <f>ROUND(ShtripsFalz_Pe04*Belarus*(1-X90),2)</f>
        <v>310</v>
      </c>
      <c r="Y29" s="90" t="s">
        <v>369</v>
      </c>
    </row>
    <row r="30" spans="1:33" ht="38.25">
      <c r="A30" s="102" t="s">
        <v>3709</v>
      </c>
      <c r="B30" s="162" t="s">
        <v>557</v>
      </c>
      <c r="C30" s="162" t="s">
        <v>3717</v>
      </c>
      <c r="D30" s="87">
        <f>ROUND(List_Ptdp*Belarus*(1-D87),2)</f>
        <v>693</v>
      </c>
      <c r="E30" s="163">
        <f>ROUND(List_Pt*Belarus*(1-D87),2)</f>
        <v>575</v>
      </c>
      <c r="F30" s="163">
        <f>ROUND(List_Sf*Belarus*(1-D87),2)</f>
        <v>602</v>
      </c>
      <c r="G30" s="721">
        <f>ROUND(List_Q*Belarus*(1-G87),2)</f>
        <v>645</v>
      </c>
      <c r="H30" s="90">
        <f>ROUND(List_Ql*Belarus*(1-G87),2)</f>
        <v>537</v>
      </c>
      <c r="I30" s="90" t="str">
        <f>ROUND(List_Vel*Belarus*(1-G87),2)&amp;" (2)"</f>
        <v>526 (2)</v>
      </c>
      <c r="J30" s="90">
        <f>ROUND(List_Atl*Belarus*(1-G87),2)</f>
        <v>505</v>
      </c>
      <c r="K30" s="87">
        <f>ROUND(List_Pur*Belarus*(1-K87),2)</f>
        <v>760</v>
      </c>
      <c r="L30" s="87">
        <f>ROUND(List_Pdx*Belarus*(1-L87),2)</f>
        <v>476</v>
      </c>
      <c r="M30" s="87">
        <f>ROUND(List_Pdxmatt*Belarus*(1-M87),2)</f>
        <v>486</v>
      </c>
      <c r="N30" s="87">
        <f>ROUND(List_StBarhat*Belarus*(1-N87),2)</f>
        <v>452</v>
      </c>
      <c r="O30" s="90" t="str">
        <f>ROUND(List_PtNN*Belarus*(1-O87),2)&amp;" НН"</f>
        <v>507 НН</v>
      </c>
      <c r="P30" s="90">
        <f>ROUND(List_Dr*Belarus*(1-P90),2)</f>
        <v>397</v>
      </c>
      <c r="Q30" s="90">
        <f>ROUND(List_Sat*Belarus*(1-Q90),2)</f>
        <v>376</v>
      </c>
      <c r="R30" s="114">
        <f>ROUND(List_PEdp*Belarus*(1-R90),2)</f>
        <v>367</v>
      </c>
      <c r="S30" s="114">
        <f>ROUND(List_Pe08*Belarus*(1-S90),2)</f>
        <v>573</v>
      </c>
      <c r="T30" s="114">
        <f>ROUND(List_Pe07*Belarus*(1-T90),2)</f>
        <v>508</v>
      </c>
      <c r="U30" s="114">
        <f>ROUND(List_Pe065*Belarus*(1-U90),2)</f>
        <v>481</v>
      </c>
      <c r="V30" s="114">
        <f>ROUND(List_Pe045*Belarus*(1-V90),2)</f>
        <v>338</v>
      </c>
      <c r="W30" s="87">
        <f>ROUND((List_Pe045+18)*Belarus*(1-V90),2)</f>
        <v>356</v>
      </c>
      <c r="X30" s="87">
        <f>ROUND(List_Pe04*Belarus*(1-X90),2)</f>
        <v>310</v>
      </c>
      <c r="Y30" s="90" t="s">
        <v>369</v>
      </c>
    </row>
    <row r="31" spans="1:33" s="184" customFormat="1">
      <c r="A31" s="164"/>
      <c r="B31" s="76"/>
      <c r="C31" s="76"/>
      <c r="I31" s="76"/>
      <c r="J31" s="76"/>
      <c r="K31" s="108"/>
      <c r="L31" s="76"/>
      <c r="M31" s="76"/>
      <c r="N31" s="76"/>
      <c r="O31" s="76"/>
      <c r="P31" s="76"/>
      <c r="Q31" s="76"/>
      <c r="R31" s="76"/>
      <c r="S31" s="76"/>
      <c r="T31" s="76"/>
      <c r="U31" s="76"/>
      <c r="V31" s="76"/>
      <c r="W31" s="76"/>
      <c r="X31" s="76"/>
      <c r="Y31" s="76"/>
      <c r="Z31" s="54"/>
      <c r="AA31" s="54"/>
      <c r="AB31" s="54"/>
      <c r="AC31" s="54"/>
      <c r="AD31" s="54"/>
      <c r="AE31" s="54"/>
      <c r="AF31" s="54"/>
      <c r="AG31" s="54"/>
    </row>
    <row r="32" spans="1:33" s="184" customFormat="1" ht="12.75" customHeight="1">
      <c r="A32" s="816" t="s">
        <v>316</v>
      </c>
      <c r="B32" s="1388" t="s">
        <v>3694</v>
      </c>
      <c r="C32" s="1388"/>
      <c r="D32" s="1388"/>
      <c r="E32" s="1388" t="s">
        <v>558</v>
      </c>
      <c r="F32" s="1388"/>
      <c r="G32" s="1388"/>
      <c r="I32" s="1491" t="s">
        <v>171</v>
      </c>
      <c r="J32" s="1491"/>
      <c r="K32" s="1491"/>
      <c r="L32" s="1491"/>
      <c r="M32" s="1491"/>
      <c r="N32" s="1491"/>
      <c r="O32" s="1491"/>
      <c r="P32" s="1491"/>
      <c r="Q32" s="1491"/>
      <c r="R32" s="1491"/>
      <c r="S32" s="1491"/>
      <c r="T32" s="1491"/>
      <c r="U32" s="1491"/>
      <c r="V32" s="1491"/>
      <c r="W32" s="1491"/>
      <c r="X32" s="1491"/>
      <c r="Y32" s="1491"/>
      <c r="Z32" s="54"/>
      <c r="AA32" s="54"/>
      <c r="AB32" s="54"/>
      <c r="AC32" s="54"/>
      <c r="AD32" s="54"/>
      <c r="AE32" s="54"/>
      <c r="AF32" s="54"/>
      <c r="AG32" s="54"/>
    </row>
    <row r="33" spans="1:33" s="184" customFormat="1" ht="12.75" customHeight="1">
      <c r="A33" s="1539" t="s">
        <v>560</v>
      </c>
      <c r="B33" s="1530" t="s">
        <v>3695</v>
      </c>
      <c r="C33" s="1530"/>
      <c r="D33" s="1530"/>
      <c r="E33" s="1297" t="s">
        <v>3696</v>
      </c>
      <c r="F33" s="1297"/>
      <c r="G33" s="1297"/>
      <c r="I33" s="1491" t="s">
        <v>307</v>
      </c>
      <c r="J33" s="1491"/>
      <c r="K33" s="1491"/>
      <c r="L33" s="1491"/>
      <c r="M33" s="1491"/>
      <c r="N33" s="1491"/>
      <c r="O33" s="1491"/>
      <c r="P33" s="1491"/>
      <c r="Q33" s="1491" t="s">
        <v>562</v>
      </c>
      <c r="R33" s="1491"/>
      <c r="S33" s="1491"/>
      <c r="T33" s="1535" t="s">
        <v>284</v>
      </c>
      <c r="U33" s="1536"/>
      <c r="V33" s="1501" t="s">
        <v>563</v>
      </c>
      <c r="W33" s="1502"/>
      <c r="X33" s="1388" t="s">
        <v>564</v>
      </c>
      <c r="Y33" s="1388"/>
      <c r="Z33" s="54"/>
      <c r="AA33" s="54"/>
      <c r="AG33" s="54"/>
    </row>
    <row r="34" spans="1:33" s="184" customFormat="1">
      <c r="A34" s="1539"/>
      <c r="B34" s="1530"/>
      <c r="C34" s="1530"/>
      <c r="D34" s="1530"/>
      <c r="E34" s="1297"/>
      <c r="F34" s="1297"/>
      <c r="G34" s="1297"/>
      <c r="I34" s="1491"/>
      <c r="J34" s="1491"/>
      <c r="K34" s="1491"/>
      <c r="L34" s="1491"/>
      <c r="M34" s="1491"/>
      <c r="N34" s="1491"/>
      <c r="O34" s="1491"/>
      <c r="P34" s="1491"/>
      <c r="Q34" s="1491"/>
      <c r="R34" s="1491"/>
      <c r="S34" s="1491"/>
      <c r="T34" s="1537"/>
      <c r="U34" s="1538"/>
      <c r="V34" s="1503"/>
      <c r="W34" s="1504"/>
      <c r="X34" s="1388"/>
      <c r="Y34" s="1388"/>
      <c r="Z34" s="54"/>
      <c r="AA34" s="54"/>
      <c r="AG34" s="54"/>
    </row>
    <row r="35" spans="1:33" s="184" customFormat="1" ht="12.75" customHeight="1">
      <c r="A35" s="1530" t="s">
        <v>3697</v>
      </c>
      <c r="B35" s="1531" t="s">
        <v>559</v>
      </c>
      <c r="C35" s="1531" t="s">
        <v>527</v>
      </c>
      <c r="D35" s="1531"/>
      <c r="E35" s="1497" t="s">
        <v>559</v>
      </c>
      <c r="F35" s="1498"/>
      <c r="G35" s="1531" t="s">
        <v>527</v>
      </c>
      <c r="I35" s="1532" t="s">
        <v>4483</v>
      </c>
      <c r="J35" s="1351"/>
      <c r="K35" s="1351"/>
      <c r="L35" s="1351"/>
      <c r="M35" s="1351"/>
      <c r="N35" s="1351"/>
      <c r="O35" s="1351"/>
      <c r="P35" s="1351"/>
      <c r="Q35" s="1542" t="s">
        <v>569</v>
      </c>
      <c r="R35" s="1543"/>
      <c r="S35" s="1544"/>
      <c r="T35" s="1533" t="s">
        <v>566</v>
      </c>
      <c r="U35" s="1534"/>
      <c r="V35" s="1540">
        <f>358*Belarus</f>
        <v>358</v>
      </c>
      <c r="W35" s="1541"/>
      <c r="X35" s="1285">
        <f>V35/0.738</f>
        <v>485.09485094850947</v>
      </c>
      <c r="Y35" s="1285"/>
      <c r="Z35" s="54"/>
      <c r="AA35" s="54"/>
      <c r="AG35" s="54"/>
    </row>
    <row r="36" spans="1:33" s="184" customFormat="1" ht="12.75" customHeight="1">
      <c r="A36" s="1530"/>
      <c r="B36" s="1531"/>
      <c r="C36" s="1531"/>
      <c r="D36" s="1531"/>
      <c r="E36" s="1499"/>
      <c r="F36" s="1500"/>
      <c r="G36" s="1531"/>
      <c r="I36" s="1351"/>
      <c r="J36" s="1351"/>
      <c r="K36" s="1351"/>
      <c r="L36" s="1351"/>
      <c r="M36" s="1351"/>
      <c r="N36" s="1351"/>
      <c r="O36" s="1351"/>
      <c r="P36" s="1351"/>
      <c r="Q36" s="1441"/>
      <c r="R36" s="1448"/>
      <c r="S36" s="1449"/>
      <c r="T36" s="1533" t="s">
        <v>568</v>
      </c>
      <c r="U36" s="1534"/>
      <c r="V36" s="1540">
        <f>412*Belarus</f>
        <v>412</v>
      </c>
      <c r="W36" s="1541"/>
      <c r="X36" s="1285">
        <f>V36/0.738</f>
        <v>558.26558265582662</v>
      </c>
      <c r="Y36" s="1285"/>
      <c r="Z36" s="54"/>
      <c r="AA36" s="54"/>
      <c r="AG36" s="54"/>
    </row>
    <row r="37" spans="1:33" s="184" customFormat="1" ht="12.75" customHeight="1">
      <c r="A37" s="1530"/>
      <c r="B37" s="420">
        <f>904*Belarus</f>
        <v>904</v>
      </c>
      <c r="C37" s="1551">
        <f>B37/0.8625</f>
        <v>1048.1159420289855</v>
      </c>
      <c r="D37" s="1551"/>
      <c r="E37" s="1514">
        <f>2822*Belarus</f>
        <v>2822</v>
      </c>
      <c r="F37" s="1515"/>
      <c r="G37" s="249">
        <f>E37/2.4725</f>
        <v>1141.3549039433772</v>
      </c>
      <c r="I37" s="1545" t="s">
        <v>4484</v>
      </c>
      <c r="J37" s="1546"/>
      <c r="K37" s="1546"/>
      <c r="L37" s="1546"/>
      <c r="M37" s="1546"/>
      <c r="N37" s="1546"/>
      <c r="O37" s="1546"/>
      <c r="P37" s="1547"/>
      <c r="Q37" s="1542" t="s">
        <v>571</v>
      </c>
      <c r="R37" s="1543"/>
      <c r="S37" s="1544"/>
      <c r="T37" s="1533" t="s">
        <v>566</v>
      </c>
      <c r="U37" s="1534"/>
      <c r="V37" s="1540">
        <f>358*Belarus</f>
        <v>358</v>
      </c>
      <c r="W37" s="1541"/>
      <c r="X37" s="1285">
        <f>V37/0.909</f>
        <v>393.83938393839384</v>
      </c>
      <c r="Y37" s="1285"/>
      <c r="Z37" s="54"/>
      <c r="AA37" s="54"/>
      <c r="AG37" s="54"/>
    </row>
    <row r="38" spans="1:33" s="184" customFormat="1" ht="12.75" customHeight="1">
      <c r="A38" s="164"/>
      <c r="B38" s="76"/>
      <c r="C38" s="76"/>
      <c r="I38" s="1548"/>
      <c r="J38" s="1549"/>
      <c r="K38" s="1549"/>
      <c r="L38" s="1549"/>
      <c r="M38" s="1549"/>
      <c r="N38" s="1549"/>
      <c r="O38" s="1549"/>
      <c r="P38" s="1550"/>
      <c r="Q38" s="1441"/>
      <c r="R38" s="1448"/>
      <c r="S38" s="1449"/>
      <c r="T38" s="1533" t="s">
        <v>568</v>
      </c>
      <c r="U38" s="1534"/>
      <c r="V38" s="1540">
        <f>412*Belarus</f>
        <v>412</v>
      </c>
      <c r="W38" s="1541"/>
      <c r="X38" s="1285">
        <f>V38/0.909</f>
        <v>453.24532453245325</v>
      </c>
      <c r="Y38" s="1285"/>
      <c r="Z38" s="54"/>
      <c r="AA38" s="54"/>
      <c r="AG38" s="54"/>
    </row>
    <row r="39" spans="1:33" s="184" customFormat="1" ht="12.75" customHeight="1">
      <c r="A39" s="1452" t="s">
        <v>575</v>
      </c>
      <c r="B39" s="1477"/>
      <c r="C39" s="1477"/>
      <c r="D39" s="1478"/>
      <c r="E39" s="1452" t="s">
        <v>576</v>
      </c>
      <c r="F39" s="1477"/>
      <c r="G39" s="1478"/>
      <c r="I39" s="1545" t="s">
        <v>4485</v>
      </c>
      <c r="J39" s="1546"/>
      <c r="K39" s="1546"/>
      <c r="L39" s="1546"/>
      <c r="M39" s="1546"/>
      <c r="N39" s="1546"/>
      <c r="O39" s="1546"/>
      <c r="P39" s="1547"/>
      <c r="Q39" s="1386" t="s">
        <v>571</v>
      </c>
      <c r="R39" s="1386"/>
      <c r="S39" s="1386"/>
      <c r="T39" s="1558" t="s">
        <v>568</v>
      </c>
      <c r="U39" s="1559"/>
      <c r="V39" s="1540">
        <f>349*Belarus</f>
        <v>349</v>
      </c>
      <c r="W39" s="1541"/>
      <c r="X39" s="1562">
        <f>V39/(0.303*3)</f>
        <v>383.93839383938393</v>
      </c>
      <c r="Y39" s="1562"/>
      <c r="Z39" s="54"/>
      <c r="AA39" s="54"/>
      <c r="AG39" s="54"/>
    </row>
    <row r="40" spans="1:33" s="184" customFormat="1" ht="12.75" customHeight="1">
      <c r="A40" s="1418" t="s">
        <v>577</v>
      </c>
      <c r="B40" s="1419"/>
      <c r="C40" s="1419"/>
      <c r="D40" s="1420"/>
      <c r="E40" s="1552" t="str">
        <f>160*Belarus&amp;" руб/кв.м."</f>
        <v>160 руб/кв.м.</v>
      </c>
      <c r="F40" s="1553"/>
      <c r="G40" s="1554"/>
      <c r="I40" s="1548"/>
      <c r="J40" s="1549"/>
      <c r="K40" s="1549"/>
      <c r="L40" s="1549"/>
      <c r="M40" s="1549"/>
      <c r="N40" s="1549"/>
      <c r="O40" s="1549"/>
      <c r="P40" s="1550"/>
      <c r="Q40" s="1386" t="s">
        <v>4486</v>
      </c>
      <c r="R40" s="1386"/>
      <c r="S40" s="1386"/>
      <c r="T40" s="1560"/>
      <c r="U40" s="1561"/>
      <c r="V40" s="1540">
        <f>175*Belarus</f>
        <v>175</v>
      </c>
      <c r="W40" s="1541"/>
      <c r="X40" s="1562">
        <f>V40/(0.303*1.5)</f>
        <v>385.03850385038504</v>
      </c>
      <c r="Y40" s="1562"/>
      <c r="Z40" s="54"/>
      <c r="AA40" s="54"/>
      <c r="AG40" s="54"/>
    </row>
    <row r="41" spans="1:33" s="184" customFormat="1">
      <c r="A41" s="1424"/>
      <c r="B41" s="1425"/>
      <c r="C41" s="1425"/>
      <c r="D41" s="1426"/>
      <c r="E41" s="1555"/>
      <c r="F41" s="1556"/>
      <c r="G41" s="1557"/>
      <c r="I41" s="1615" t="s">
        <v>4255</v>
      </c>
      <c r="J41" s="1615"/>
      <c r="K41" s="1615"/>
      <c r="L41" s="1615"/>
      <c r="M41" s="1615"/>
      <c r="N41" s="1615"/>
      <c r="O41" s="1615"/>
      <c r="P41" s="1615"/>
      <c r="Q41" s="1615"/>
      <c r="R41" s="1615"/>
      <c r="S41" s="1615"/>
      <c r="T41" s="1615"/>
      <c r="U41" s="1615"/>
      <c r="V41" s="1615"/>
      <c r="W41" s="1615"/>
      <c r="X41" s="1615"/>
      <c r="Y41" s="1615"/>
      <c r="Z41" s="54"/>
      <c r="AA41" s="54"/>
      <c r="AG41" s="54"/>
    </row>
    <row r="42" spans="1:33" s="184" customFormat="1" ht="12.75" customHeight="1">
      <c r="A42" s="1405" t="s">
        <v>6535</v>
      </c>
      <c r="B42" s="1405"/>
      <c r="C42" s="1405"/>
      <c r="D42" s="1405"/>
      <c r="E42" s="1295" t="str">
        <f>15*Belarus&amp;" руб/кв.м."</f>
        <v>15 руб/кв.м.</v>
      </c>
      <c r="F42" s="1295"/>
      <c r="G42" s="1295"/>
      <c r="H42" s="172"/>
      <c r="Z42" s="54"/>
      <c r="AA42" s="54"/>
      <c r="AB42" s="54"/>
      <c r="AC42" s="54"/>
      <c r="AD42" s="54"/>
      <c r="AE42" s="54"/>
      <c r="AF42" s="54"/>
      <c r="AG42" s="54"/>
    </row>
    <row r="43" spans="1:33" s="184" customFormat="1" ht="12.75" customHeight="1">
      <c r="A43" s="1409" t="s">
        <v>579</v>
      </c>
      <c r="B43" s="1410"/>
      <c r="C43" s="1410"/>
      <c r="D43" s="1411"/>
      <c r="E43" s="1563">
        <f>360*Belarus</f>
        <v>360</v>
      </c>
      <c r="F43" s="1564"/>
      <c r="G43" s="1565"/>
      <c r="H43" s="172"/>
      <c r="I43" s="1452" t="s">
        <v>561</v>
      </c>
      <c r="J43" s="1477"/>
      <c r="K43" s="1477"/>
      <c r="L43" s="1477"/>
      <c r="M43" s="1477"/>
      <c r="N43" s="1477"/>
      <c r="O43" s="1477"/>
      <c r="P43" s="1477"/>
      <c r="Q43" s="1477"/>
      <c r="R43" s="1477"/>
      <c r="S43" s="1477"/>
      <c r="T43" s="1477"/>
      <c r="U43" s="1477"/>
      <c r="V43" s="1477"/>
      <c r="W43" s="1477"/>
      <c r="X43" s="1477"/>
      <c r="Y43" s="1478"/>
      <c r="Z43" s="54"/>
      <c r="AC43" s="54"/>
      <c r="AD43" s="54"/>
      <c r="AE43" s="54"/>
      <c r="AF43" s="54"/>
      <c r="AG43" s="54"/>
    </row>
    <row r="44" spans="1:33" s="184" customFormat="1">
      <c r="A44" s="1327" t="s">
        <v>581</v>
      </c>
      <c r="B44" s="1328"/>
      <c r="C44" s="1328"/>
      <c r="D44" s="1329"/>
      <c r="E44" s="1514">
        <f>2200*Belarus</f>
        <v>2200</v>
      </c>
      <c r="F44" s="1515"/>
      <c r="G44" s="1516"/>
      <c r="H44" s="172"/>
      <c r="I44" s="1501" t="s">
        <v>307</v>
      </c>
      <c r="J44" s="1585"/>
      <c r="K44" s="1585"/>
      <c r="L44" s="1502"/>
      <c r="M44" s="1535" t="s">
        <v>318</v>
      </c>
      <c r="N44" s="1536"/>
      <c r="O44" s="1566" t="s">
        <v>565</v>
      </c>
      <c r="P44" s="1491" t="s">
        <v>563</v>
      </c>
      <c r="Q44" s="1491"/>
      <c r="R44" s="1491"/>
      <c r="S44" s="1491"/>
      <c r="T44" s="1491"/>
      <c r="U44" s="1491"/>
      <c r="V44" s="1491"/>
      <c r="W44" s="1491"/>
      <c r="X44" s="1491"/>
      <c r="Y44" s="1491"/>
      <c r="Z44" s="54"/>
      <c r="AC44" s="54"/>
      <c r="AD44" s="54"/>
      <c r="AE44" s="54"/>
      <c r="AF44" s="54"/>
      <c r="AG44" s="54"/>
    </row>
    <row r="45" spans="1:33" s="184" customFormat="1" ht="12.75" customHeight="1">
      <c r="A45" s="1419" t="s">
        <v>583</v>
      </c>
      <c r="B45" s="1419"/>
      <c r="C45" s="1419"/>
      <c r="D45" s="1420"/>
      <c r="E45" s="1297">
        <f>2600*Belarus</f>
        <v>2600</v>
      </c>
      <c r="F45" s="1297"/>
      <c r="G45" s="1297"/>
      <c r="H45" s="172"/>
      <c r="I45" s="1503"/>
      <c r="J45" s="1586"/>
      <c r="K45" s="1586"/>
      <c r="L45" s="1504"/>
      <c r="M45" s="1568"/>
      <c r="N45" s="1569"/>
      <c r="O45" s="1567"/>
      <c r="P45" s="1491" t="s">
        <v>566</v>
      </c>
      <c r="Q45" s="1491"/>
      <c r="R45" s="1491" t="s">
        <v>567</v>
      </c>
      <c r="S45" s="1491"/>
      <c r="T45" s="1491"/>
      <c r="U45" s="1491"/>
      <c r="V45" s="1491"/>
      <c r="W45" s="1491" t="s">
        <v>568</v>
      </c>
      <c r="X45" s="1491"/>
      <c r="Y45" s="1491"/>
      <c r="Z45" s="54"/>
      <c r="AC45" s="54"/>
      <c r="AD45" s="54"/>
      <c r="AE45" s="54"/>
      <c r="AF45" s="54"/>
      <c r="AG45" s="54"/>
    </row>
    <row r="46" spans="1:33" s="184" customFormat="1" ht="12.75" customHeight="1">
      <c r="A46" s="1425"/>
      <c r="B46" s="1425"/>
      <c r="C46" s="1425"/>
      <c r="D46" s="1426"/>
      <c r="E46" s="1297"/>
      <c r="F46" s="1297"/>
      <c r="G46" s="1297"/>
      <c r="H46" s="172"/>
      <c r="I46" s="1365" t="s">
        <v>570</v>
      </c>
      <c r="J46" s="1366"/>
      <c r="K46" s="1366"/>
      <c r="L46" s="1367"/>
      <c r="M46" s="1570">
        <v>3</v>
      </c>
      <c r="N46" s="1571"/>
      <c r="O46" s="177">
        <v>24</v>
      </c>
      <c r="P46" s="1572">
        <f>546*Belarus</f>
        <v>546</v>
      </c>
      <c r="Q46" s="1572"/>
      <c r="R46" s="1572">
        <f>629*Belarus</f>
        <v>629</v>
      </c>
      <c r="S46" s="1572"/>
      <c r="T46" s="1572"/>
      <c r="U46" s="1572"/>
      <c r="V46" s="1572"/>
      <c r="W46" s="1572">
        <f>587*Belarus</f>
        <v>587</v>
      </c>
      <c r="X46" s="1572"/>
      <c r="Y46" s="1572"/>
      <c r="Z46" s="54"/>
      <c r="AC46" s="54"/>
      <c r="AD46" s="54"/>
      <c r="AE46" s="54"/>
      <c r="AF46" s="54"/>
      <c r="AG46" s="54"/>
    </row>
    <row r="47" spans="1:33" s="184" customFormat="1">
      <c r="A47" s="1410" t="s">
        <v>6684</v>
      </c>
      <c r="B47" s="1410"/>
      <c r="C47" s="1410"/>
      <c r="D47" s="1411"/>
      <c r="E47" s="1488">
        <v>3200</v>
      </c>
      <c r="F47" s="1489"/>
      <c r="G47" s="1490"/>
      <c r="H47" s="181"/>
      <c r="I47" s="1573" t="s">
        <v>309</v>
      </c>
      <c r="J47" s="1574"/>
      <c r="K47" s="1574"/>
      <c r="L47" s="1575"/>
      <c r="M47" s="1570">
        <v>3</v>
      </c>
      <c r="N47" s="1571"/>
      <c r="O47" s="177">
        <v>51</v>
      </c>
      <c r="P47" s="1572">
        <f>212*Belarus</f>
        <v>212</v>
      </c>
      <c r="Q47" s="1572"/>
      <c r="R47" s="1572">
        <f>243*Belarus</f>
        <v>243</v>
      </c>
      <c r="S47" s="1572"/>
      <c r="T47" s="1572"/>
      <c r="U47" s="1572"/>
      <c r="V47" s="1572"/>
      <c r="W47" s="1572">
        <f>227*Belarus</f>
        <v>227</v>
      </c>
      <c r="X47" s="1572"/>
      <c r="Y47" s="1572"/>
      <c r="Z47" s="54"/>
      <c r="AC47" s="54"/>
      <c r="AD47" s="54"/>
      <c r="AE47" s="54"/>
      <c r="AF47" s="54"/>
      <c r="AG47" s="54"/>
    </row>
    <row r="48" spans="1:33" s="184" customFormat="1">
      <c r="A48" s="1327" t="s">
        <v>586</v>
      </c>
      <c r="B48" s="1328"/>
      <c r="C48" s="1328"/>
      <c r="D48" s="1329"/>
      <c r="E48" s="1295">
        <f>400*Belarus</f>
        <v>400</v>
      </c>
      <c r="F48" s="1295"/>
      <c r="G48" s="1295"/>
      <c r="H48" s="181"/>
      <c r="I48" s="1545" t="s">
        <v>572</v>
      </c>
      <c r="J48" s="1546"/>
      <c r="K48" s="1546"/>
      <c r="L48" s="1547"/>
      <c r="M48" s="1570">
        <v>3</v>
      </c>
      <c r="N48" s="1571"/>
      <c r="O48" s="177">
        <v>50</v>
      </c>
      <c r="P48" s="1572">
        <f>175*Belarus</f>
        <v>175</v>
      </c>
      <c r="Q48" s="1572"/>
      <c r="R48" s="1572">
        <f>182*Belarus</f>
        <v>182</v>
      </c>
      <c r="S48" s="1572"/>
      <c r="T48" s="1572"/>
      <c r="U48" s="1572"/>
      <c r="V48" s="1572"/>
      <c r="W48" s="1572">
        <f>190*Belarus</f>
        <v>190</v>
      </c>
      <c r="X48" s="1572"/>
      <c r="Y48" s="1572"/>
      <c r="Z48" s="54"/>
      <c r="AC48" s="54"/>
      <c r="AD48" s="54"/>
      <c r="AE48" s="54"/>
      <c r="AF48" s="54"/>
      <c r="AG48" s="54"/>
    </row>
    <row r="49" spans="1:33" s="184" customFormat="1" ht="12.75" customHeight="1">
      <c r="A49" s="1351" t="s">
        <v>588</v>
      </c>
      <c r="B49" s="1351"/>
      <c r="C49" s="1351"/>
      <c r="D49" s="1351"/>
      <c r="E49" s="1295">
        <f>2950*Belarus</f>
        <v>2950</v>
      </c>
      <c r="F49" s="1295"/>
      <c r="G49" s="1295"/>
      <c r="H49" s="172"/>
      <c r="I49" s="1573" t="s">
        <v>573</v>
      </c>
      <c r="J49" s="1574"/>
      <c r="K49" s="1574"/>
      <c r="L49" s="1575"/>
      <c r="M49" s="1570">
        <v>3</v>
      </c>
      <c r="N49" s="1571"/>
      <c r="O49" s="177">
        <v>24</v>
      </c>
      <c r="P49" s="1572" t="str">
        <f>546*Belarus&amp;" (на складе)"</f>
        <v>546 (на складе)</v>
      </c>
      <c r="Q49" s="1572"/>
      <c r="R49" s="1572" t="s">
        <v>369</v>
      </c>
      <c r="S49" s="1572"/>
      <c r="T49" s="1572"/>
      <c r="U49" s="1572"/>
      <c r="V49" s="1572"/>
      <c r="W49" s="1572">
        <f>587*Belarus</f>
        <v>587</v>
      </c>
      <c r="X49" s="1572"/>
      <c r="Y49" s="1572"/>
      <c r="Z49" s="54"/>
      <c r="AA49" s="54"/>
      <c r="AB49" s="54"/>
      <c r="AC49" s="54"/>
      <c r="AD49" s="54"/>
      <c r="AE49" s="54"/>
      <c r="AF49" s="54"/>
      <c r="AG49" s="54"/>
    </row>
    <row r="50" spans="1:33" s="184" customFormat="1" ht="12.75" customHeight="1">
      <c r="A50" s="1327" t="s">
        <v>590</v>
      </c>
      <c r="B50" s="1328"/>
      <c r="C50" s="1328"/>
      <c r="D50" s="1329"/>
      <c r="E50" s="1295">
        <f>1450*Belarus</f>
        <v>1450</v>
      </c>
      <c r="F50" s="1295"/>
      <c r="G50" s="1295"/>
      <c r="H50" s="172"/>
      <c r="I50" s="1296" t="s">
        <v>574</v>
      </c>
      <c r="J50" s="1296"/>
      <c r="K50" s="1296"/>
      <c r="L50" s="1296"/>
      <c r="M50" s="1296"/>
      <c r="N50" s="1296"/>
      <c r="O50" s="1296"/>
      <c r="P50" s="1296"/>
      <c r="Q50" s="1296"/>
      <c r="R50" s="1296"/>
      <c r="S50" s="1296"/>
      <c r="T50" s="1296"/>
      <c r="U50" s="1296"/>
      <c r="V50" s="1296"/>
      <c r="W50" s="1296"/>
      <c r="X50" s="1296"/>
      <c r="Y50" s="1296"/>
      <c r="Z50" s="54"/>
      <c r="AA50" s="54"/>
      <c r="AB50" s="54"/>
      <c r="AC50" s="54"/>
      <c r="AD50" s="54"/>
      <c r="AE50" s="54"/>
      <c r="AF50" s="54"/>
      <c r="AG50" s="54"/>
    </row>
    <row r="51" spans="1:33" ht="12.75" customHeight="1">
      <c r="A51" s="1351" t="s">
        <v>592</v>
      </c>
      <c r="B51" s="1576"/>
      <c r="C51" s="1576"/>
      <c r="D51" s="1576"/>
      <c r="E51" s="1295" t="str">
        <f>4*Belarus&amp;" руб/шт"</f>
        <v>4 руб/шт</v>
      </c>
      <c r="F51" s="1295"/>
      <c r="G51" s="1295"/>
      <c r="H51" s="76"/>
      <c r="I51" s="76"/>
      <c r="J51" s="76"/>
      <c r="K51" s="76"/>
      <c r="L51" s="76"/>
      <c r="M51" s="76"/>
      <c r="N51" s="76"/>
      <c r="O51" s="76"/>
      <c r="P51" s="76"/>
      <c r="Q51" s="76"/>
      <c r="R51" s="76"/>
      <c r="S51" s="76"/>
      <c r="T51" s="76"/>
      <c r="U51" s="76"/>
      <c r="V51" s="76"/>
      <c r="W51" s="76"/>
      <c r="X51" s="76"/>
      <c r="Y51" s="76"/>
      <c r="Z51" s="76"/>
    </row>
    <row r="52" spans="1:33">
      <c r="A52" s="1351" t="s">
        <v>480</v>
      </c>
      <c r="B52" s="1576"/>
      <c r="C52" s="1576"/>
      <c r="D52" s="1576"/>
      <c r="E52" s="1295" t="str">
        <f>6.8*Belarus&amp;" руб/шт"</f>
        <v>6,8 руб/шт</v>
      </c>
      <c r="F52" s="1295"/>
      <c r="G52" s="1295"/>
      <c r="H52" s="138"/>
      <c r="I52" s="1491" t="s">
        <v>575</v>
      </c>
      <c r="J52" s="1491"/>
      <c r="K52" s="1491"/>
      <c r="L52" s="1491"/>
      <c r="M52" s="1491"/>
      <c r="N52" s="1491"/>
      <c r="O52" s="1491"/>
      <c r="P52" s="1491"/>
      <c r="Q52" s="1491"/>
      <c r="R52" s="1491"/>
      <c r="S52" s="1491"/>
      <c r="T52" s="1491"/>
      <c r="U52" s="1491"/>
      <c r="V52" s="1491"/>
      <c r="W52" s="1491"/>
      <c r="X52" s="1491" t="s">
        <v>563</v>
      </c>
      <c r="Y52" s="1491"/>
    </row>
    <row r="53" spans="1:33">
      <c r="A53" s="1578" t="s">
        <v>595</v>
      </c>
      <c r="B53" s="1578"/>
      <c r="C53" s="1578"/>
      <c r="D53" s="1578"/>
      <c r="E53" s="1295">
        <f>120*Belarus</f>
        <v>120</v>
      </c>
      <c r="F53" s="1579"/>
      <c r="G53" s="1579"/>
      <c r="H53" s="138"/>
      <c r="I53" s="1577" t="s">
        <v>580</v>
      </c>
      <c r="J53" s="1577"/>
      <c r="K53" s="1577"/>
      <c r="L53" s="1577"/>
      <c r="M53" s="1577"/>
      <c r="N53" s="1577"/>
      <c r="O53" s="1577"/>
      <c r="P53" s="1577"/>
      <c r="Q53" s="1577"/>
      <c r="R53" s="1577"/>
      <c r="S53" s="1577"/>
      <c r="T53" s="1577"/>
      <c r="U53" s="1577"/>
      <c r="V53" s="1577"/>
      <c r="W53" s="1577"/>
      <c r="X53" s="1295">
        <f>748*Belarus</f>
        <v>748</v>
      </c>
      <c r="Y53" s="1295"/>
    </row>
    <row r="54" spans="1:33" ht="12.75" customHeight="1">
      <c r="H54" s="138"/>
      <c r="I54" s="1577" t="s">
        <v>582</v>
      </c>
      <c r="J54" s="1577"/>
      <c r="K54" s="1577"/>
      <c r="L54" s="1577"/>
      <c r="M54" s="1577"/>
      <c r="N54" s="1577"/>
      <c r="O54" s="1577"/>
      <c r="P54" s="1577"/>
      <c r="Q54" s="1577"/>
      <c r="R54" s="1577"/>
      <c r="S54" s="1577"/>
      <c r="T54" s="1577"/>
      <c r="U54" s="1577"/>
      <c r="V54" s="1577"/>
      <c r="W54" s="1577"/>
      <c r="X54" s="1514" t="str">
        <f>(987*Belarus)&amp;" / "&amp;(2328*Belarus)</f>
        <v>987 / 2328</v>
      </c>
      <c r="Y54" s="1516"/>
    </row>
    <row r="55" spans="1:33" ht="12.75" customHeight="1">
      <c r="H55" s="138"/>
      <c r="I55" s="1577" t="s">
        <v>584</v>
      </c>
      <c r="J55" s="1577"/>
      <c r="K55" s="1577"/>
      <c r="L55" s="1577"/>
      <c r="M55" s="1577"/>
      <c r="N55" s="1577"/>
      <c r="O55" s="1577"/>
      <c r="P55" s="1577"/>
      <c r="Q55" s="1577"/>
      <c r="R55" s="1577"/>
      <c r="S55" s="1577"/>
      <c r="T55" s="1577"/>
      <c r="U55" s="1577"/>
      <c r="V55" s="1577"/>
      <c r="W55" s="1577"/>
      <c r="X55" s="1295">
        <f>236*Belarus</f>
        <v>236</v>
      </c>
      <c r="Y55" s="1295"/>
    </row>
    <row r="56" spans="1:33" ht="12.75" customHeight="1">
      <c r="A56" s="1491" t="s">
        <v>420</v>
      </c>
      <c r="B56" s="1491"/>
      <c r="C56" s="1491"/>
      <c r="D56" s="1491"/>
      <c r="E56" s="1491"/>
      <c r="F56" s="1491"/>
      <c r="G56" s="1491"/>
      <c r="H56" s="138"/>
      <c r="I56" s="1577" t="s">
        <v>585</v>
      </c>
      <c r="J56" s="1577"/>
      <c r="K56" s="1577"/>
      <c r="L56" s="1577"/>
      <c r="M56" s="1577"/>
      <c r="N56" s="1577"/>
      <c r="O56" s="1577"/>
      <c r="P56" s="1577"/>
      <c r="Q56" s="1577"/>
      <c r="R56" s="1577"/>
      <c r="S56" s="1577"/>
      <c r="T56" s="1577"/>
      <c r="U56" s="1577"/>
      <c r="V56" s="1577"/>
      <c r="W56" s="1577"/>
      <c r="X56" s="1514">
        <f>3832*Belarus</f>
        <v>3832</v>
      </c>
      <c r="Y56" s="1516"/>
    </row>
    <row r="57" spans="1:33" ht="12.75" customHeight="1">
      <c r="A57" s="1296" t="s">
        <v>3712</v>
      </c>
      <c r="B57" s="1296"/>
      <c r="C57" s="1296"/>
      <c r="D57" s="1296"/>
      <c r="E57" s="1296"/>
      <c r="F57" s="1296"/>
      <c r="G57" s="1296"/>
      <c r="H57" s="138"/>
      <c r="I57" s="1577" t="s">
        <v>587</v>
      </c>
      <c r="J57" s="1577"/>
      <c r="K57" s="1577"/>
      <c r="L57" s="1577"/>
      <c r="M57" s="1577"/>
      <c r="N57" s="1577"/>
      <c r="O57" s="1577"/>
      <c r="P57" s="1577"/>
      <c r="Q57" s="1577"/>
      <c r="R57" s="1577"/>
      <c r="S57" s="1577"/>
      <c r="T57" s="1577"/>
      <c r="U57" s="1577"/>
      <c r="V57" s="1577"/>
      <c r="W57" s="1577"/>
      <c r="X57" s="1295">
        <f>1680*Belarus</f>
        <v>1680</v>
      </c>
      <c r="Y57" s="1295"/>
    </row>
    <row r="58" spans="1:33" ht="14.25" customHeight="1">
      <c r="A58" s="1351" t="s">
        <v>6768</v>
      </c>
      <c r="B58" s="1351"/>
      <c r="C58" s="1351"/>
      <c r="D58" s="1351"/>
      <c r="E58" s="1351"/>
      <c r="F58" s="1351"/>
      <c r="G58" s="1351"/>
      <c r="H58" s="138"/>
      <c r="I58" s="1577" t="s">
        <v>589</v>
      </c>
      <c r="J58" s="1577"/>
      <c r="K58" s="1577"/>
      <c r="L58" s="1577"/>
      <c r="M58" s="1577"/>
      <c r="N58" s="1577"/>
      <c r="O58" s="1577"/>
      <c r="P58" s="1577"/>
      <c r="Q58" s="1577"/>
      <c r="R58" s="1577"/>
      <c r="S58" s="1577"/>
      <c r="T58" s="1577"/>
      <c r="U58" s="1577"/>
      <c r="V58" s="1577"/>
      <c r="W58" s="1577"/>
      <c r="X58" s="1514">
        <f>404*Belarus</f>
        <v>404</v>
      </c>
      <c r="Y58" s="1516"/>
    </row>
    <row r="59" spans="1:33" ht="15.75" customHeight="1">
      <c r="A59" s="1351"/>
      <c r="B59" s="1351"/>
      <c r="C59" s="1351"/>
      <c r="D59" s="1351"/>
      <c r="E59" s="1351"/>
      <c r="F59" s="1351"/>
      <c r="G59" s="1351"/>
      <c r="H59" s="138"/>
      <c r="I59" s="1606" t="s">
        <v>5379</v>
      </c>
      <c r="J59" s="1607"/>
      <c r="K59" s="1607"/>
      <c r="L59" s="1607"/>
      <c r="M59" s="1607"/>
      <c r="N59" s="1608"/>
      <c r="O59" s="1581" t="s">
        <v>591</v>
      </c>
      <c r="P59" s="1581"/>
      <c r="Q59" s="1581"/>
      <c r="R59" s="1581"/>
      <c r="S59" s="1581"/>
      <c r="T59" s="1581"/>
      <c r="U59" s="1581"/>
      <c r="V59" s="1581"/>
      <c r="W59" s="1581"/>
      <c r="X59" s="1514">
        <f>4350*Belarus</f>
        <v>4350</v>
      </c>
      <c r="Y59" s="1516"/>
    </row>
    <row r="60" spans="1:33" ht="15.75" customHeight="1">
      <c r="A60" s="1351"/>
      <c r="B60" s="1351"/>
      <c r="C60" s="1351"/>
      <c r="D60" s="1351"/>
      <c r="E60" s="1351"/>
      <c r="F60" s="1351"/>
      <c r="G60" s="1351"/>
      <c r="H60" s="138"/>
      <c r="I60" s="1609"/>
      <c r="J60" s="1610"/>
      <c r="K60" s="1610"/>
      <c r="L60" s="1610"/>
      <c r="M60" s="1610"/>
      <c r="N60" s="1611"/>
      <c r="O60" s="1581" t="s">
        <v>593</v>
      </c>
      <c r="P60" s="1581"/>
      <c r="Q60" s="1581"/>
      <c r="R60" s="1581"/>
      <c r="S60" s="1581"/>
      <c r="T60" s="1581"/>
      <c r="U60" s="1581"/>
      <c r="V60" s="1581"/>
      <c r="W60" s="1581"/>
      <c r="X60" s="1514">
        <f>4510*Belarus</f>
        <v>4510</v>
      </c>
      <c r="Y60" s="1516"/>
    </row>
    <row r="61" spans="1:33" ht="12.75" customHeight="1">
      <c r="A61" s="1351"/>
      <c r="B61" s="1351"/>
      <c r="C61" s="1351"/>
      <c r="D61" s="1351"/>
      <c r="E61" s="1351"/>
      <c r="F61" s="1351"/>
      <c r="G61" s="1351"/>
      <c r="H61" s="138"/>
      <c r="I61" s="1609"/>
      <c r="J61" s="1610"/>
      <c r="K61" s="1610"/>
      <c r="L61" s="1610"/>
      <c r="M61" s="1610"/>
      <c r="N61" s="1611"/>
      <c r="O61" s="1581" t="s">
        <v>594</v>
      </c>
      <c r="P61" s="1581"/>
      <c r="Q61" s="1581"/>
      <c r="R61" s="1581"/>
      <c r="S61" s="1581"/>
      <c r="T61" s="1581"/>
      <c r="U61" s="1581"/>
      <c r="V61" s="1581"/>
      <c r="W61" s="1581"/>
      <c r="X61" s="1514">
        <f>5340*Belarus</f>
        <v>5340</v>
      </c>
      <c r="Y61" s="1516"/>
    </row>
    <row r="62" spans="1:33" ht="12.75" customHeight="1">
      <c r="A62" s="1344" t="s">
        <v>6654</v>
      </c>
      <c r="B62" s="1344"/>
      <c r="C62" s="1344"/>
      <c r="D62" s="1344"/>
      <c r="E62" s="1344"/>
      <c r="F62" s="1344"/>
      <c r="G62" s="1344"/>
      <c r="H62" s="138"/>
      <c r="I62" s="1612"/>
      <c r="J62" s="1613"/>
      <c r="K62" s="1613"/>
      <c r="L62" s="1613"/>
      <c r="M62" s="1613"/>
      <c r="N62" s="1614"/>
      <c r="O62" s="1581" t="s">
        <v>596</v>
      </c>
      <c r="P62" s="1581"/>
      <c r="Q62" s="1581"/>
      <c r="R62" s="1581"/>
      <c r="S62" s="1581"/>
      <c r="T62" s="1581"/>
      <c r="U62" s="1581"/>
      <c r="V62" s="1581"/>
      <c r="W62" s="1581"/>
      <c r="X62" s="1514">
        <f>5340*Belarus</f>
        <v>5340</v>
      </c>
      <c r="Y62" s="1516"/>
    </row>
    <row r="63" spans="1:33" ht="12.75" customHeight="1">
      <c r="A63" s="1351" t="s">
        <v>6656</v>
      </c>
      <c r="B63" s="1351"/>
      <c r="C63" s="1351"/>
      <c r="D63" s="1351"/>
      <c r="E63" s="1351"/>
      <c r="F63" s="1351"/>
      <c r="G63" s="1351"/>
      <c r="H63" s="138"/>
      <c r="I63" s="164"/>
      <c r="J63" s="184"/>
      <c r="K63" s="184"/>
      <c r="L63" s="184"/>
      <c r="M63" s="184"/>
      <c r="N63" s="184"/>
      <c r="O63" s="184"/>
      <c r="P63" s="184"/>
      <c r="Q63" s="184"/>
      <c r="R63" s="184"/>
      <c r="S63" s="184"/>
      <c r="T63" s="184"/>
      <c r="U63" s="184"/>
      <c r="V63" s="184"/>
      <c r="W63" s="184"/>
      <c r="X63" s="184"/>
      <c r="Y63" s="184"/>
    </row>
    <row r="64" spans="1:33" ht="12.75" customHeight="1">
      <c r="A64" s="1351"/>
      <c r="B64" s="1351"/>
      <c r="C64" s="1351"/>
      <c r="D64" s="1351"/>
      <c r="E64" s="1351"/>
      <c r="F64" s="1351"/>
      <c r="G64" s="1351"/>
      <c r="H64" s="138"/>
      <c r="I64" s="1479" t="s">
        <v>597</v>
      </c>
      <c r="J64" s="1517"/>
      <c r="K64" s="1517"/>
      <c r="L64" s="1517"/>
      <c r="M64" s="1517"/>
      <c r="N64" s="1517"/>
      <c r="O64" s="1517"/>
      <c r="P64" s="1480"/>
      <c r="Q64" s="1501" t="s">
        <v>598</v>
      </c>
      <c r="R64" s="1585"/>
      <c r="S64" s="1585"/>
      <c r="T64" s="1585"/>
      <c r="U64" s="1585"/>
      <c r="V64" s="1585"/>
      <c r="W64" s="1585"/>
      <c r="X64" s="1585"/>
      <c r="Y64" s="1502"/>
    </row>
    <row r="65" spans="1:25" ht="12.75" customHeight="1">
      <c r="A65" s="1351"/>
      <c r="B65" s="1351"/>
      <c r="C65" s="1351"/>
      <c r="D65" s="1351"/>
      <c r="E65" s="1351"/>
      <c r="F65" s="1351"/>
      <c r="G65" s="1351"/>
      <c r="H65" s="138"/>
      <c r="I65" s="1283" t="s">
        <v>483</v>
      </c>
      <c r="J65" s="1283"/>
      <c r="K65" s="1283"/>
      <c r="L65" s="1491" t="s">
        <v>484</v>
      </c>
      <c r="M65" s="1491"/>
      <c r="N65" s="1491"/>
      <c r="O65" s="1479" t="s">
        <v>485</v>
      </c>
      <c r="P65" s="1480"/>
      <c r="Q65" s="1503"/>
      <c r="R65" s="1586"/>
      <c r="S65" s="1586"/>
      <c r="T65" s="1586"/>
      <c r="U65" s="1586"/>
      <c r="V65" s="1586"/>
      <c r="W65" s="1586"/>
      <c r="X65" s="1586"/>
      <c r="Y65" s="1504"/>
    </row>
    <row r="66" spans="1:25" ht="12.75" customHeight="1">
      <c r="A66" s="1296" t="s">
        <v>6659</v>
      </c>
      <c r="B66" s="1505"/>
      <c r="C66" s="1505"/>
      <c r="D66" s="1505"/>
      <c r="E66" s="1505"/>
      <c r="F66" s="1505"/>
      <c r="G66" s="1505"/>
      <c r="H66" s="138"/>
      <c r="I66" s="1296" t="s">
        <v>599</v>
      </c>
      <c r="J66" s="1296"/>
      <c r="K66" s="1296"/>
      <c r="L66" s="1386" t="str">
        <f>(1500*Belarus)&amp;" руб."</f>
        <v>1500 руб.</v>
      </c>
      <c r="M66" s="1386"/>
      <c r="N66" s="1386"/>
      <c r="O66" s="1468" t="s">
        <v>488</v>
      </c>
      <c r="P66" s="1527"/>
      <c r="Q66" s="1582" t="s">
        <v>483</v>
      </c>
      <c r="R66" s="1582"/>
      <c r="S66" s="1582"/>
      <c r="T66" s="1580" t="s">
        <v>484</v>
      </c>
      <c r="U66" s="1580"/>
      <c r="V66" s="1580"/>
      <c r="W66" s="1580" t="s">
        <v>485</v>
      </c>
      <c r="X66" s="1580"/>
      <c r="Y66" s="1580"/>
    </row>
    <row r="67" spans="1:25" ht="12.75" customHeight="1">
      <c r="A67" s="1296" t="s">
        <v>616</v>
      </c>
      <c r="B67" s="1296"/>
      <c r="C67" s="1296"/>
      <c r="D67" s="1296"/>
      <c r="E67" s="1296"/>
      <c r="F67" s="1296"/>
      <c r="G67" s="1296"/>
      <c r="H67" s="138"/>
      <c r="I67" s="1296" t="s">
        <v>601</v>
      </c>
      <c r="J67" s="1296"/>
      <c r="K67" s="1296"/>
      <c r="L67" s="1386" t="s">
        <v>602</v>
      </c>
      <c r="M67" s="1386"/>
      <c r="N67" s="1386"/>
      <c r="O67" s="1471"/>
      <c r="P67" s="1473"/>
      <c r="Q67" s="1296" t="s">
        <v>603</v>
      </c>
      <c r="R67" s="1296"/>
      <c r="S67" s="1296"/>
      <c r="T67" s="1387" t="s">
        <v>604</v>
      </c>
      <c r="U67" s="1387"/>
      <c r="V67" s="1387"/>
      <c r="W67" s="1386" t="s">
        <v>488</v>
      </c>
      <c r="X67" s="1386"/>
      <c r="Y67" s="1386"/>
    </row>
    <row r="68" spans="1:25" ht="12.75" customHeight="1">
      <c r="A68" s="1296" t="s">
        <v>425</v>
      </c>
      <c r="B68" s="1296"/>
      <c r="C68" s="1296"/>
      <c r="D68" s="1296"/>
      <c r="E68" s="1296"/>
      <c r="F68" s="1296"/>
      <c r="G68" s="1296"/>
      <c r="H68" s="138"/>
      <c r="I68" s="1296" t="s">
        <v>605</v>
      </c>
      <c r="J68" s="1296"/>
      <c r="K68" s="1296"/>
      <c r="L68" s="1386" t="s">
        <v>606</v>
      </c>
      <c r="M68" s="1386"/>
      <c r="N68" s="1386"/>
      <c r="O68" s="1471"/>
      <c r="P68" s="1473"/>
      <c r="Q68" s="1296" t="s">
        <v>607</v>
      </c>
      <c r="R68" s="1296"/>
      <c r="S68" s="1296"/>
      <c r="T68" s="1387" t="s">
        <v>608</v>
      </c>
      <c r="U68" s="1387"/>
      <c r="V68" s="1387"/>
      <c r="W68" s="1386"/>
      <c r="X68" s="1386"/>
      <c r="Y68" s="1386"/>
    </row>
    <row r="69" spans="1:25" ht="12.75" customHeight="1">
      <c r="A69" s="1296" t="s">
        <v>3715</v>
      </c>
      <c r="B69" s="1296"/>
      <c r="C69" s="1296"/>
      <c r="D69" s="1296"/>
      <c r="E69" s="1296"/>
      <c r="F69" s="1296"/>
      <c r="G69" s="1296"/>
      <c r="H69" s="138"/>
      <c r="I69" s="1296" t="s">
        <v>609</v>
      </c>
      <c r="J69" s="1296"/>
      <c r="K69" s="1296"/>
      <c r="L69" s="1386" t="s">
        <v>610</v>
      </c>
      <c r="M69" s="1386"/>
      <c r="N69" s="1386"/>
      <c r="O69" s="1583"/>
      <c r="P69" s="1584"/>
      <c r="Q69" s="1296" t="s">
        <v>611</v>
      </c>
      <c r="R69" s="1296"/>
      <c r="S69" s="1296"/>
      <c r="T69" s="1387" t="s">
        <v>612</v>
      </c>
      <c r="U69" s="1387"/>
      <c r="V69" s="1387"/>
      <c r="W69" s="1386"/>
      <c r="X69" s="1386"/>
      <c r="Y69" s="1386"/>
    </row>
    <row r="70" spans="1:25" ht="12.75" customHeight="1">
      <c r="A70" s="1296" t="s">
        <v>600</v>
      </c>
      <c r="B70" s="1296"/>
      <c r="C70" s="1296"/>
      <c r="D70" s="1296"/>
      <c r="E70" s="1296"/>
      <c r="F70" s="1296"/>
      <c r="G70" s="1296"/>
      <c r="H70" s="138"/>
      <c r="I70" s="1296" t="s">
        <v>613</v>
      </c>
      <c r="J70" s="1296"/>
      <c r="K70" s="1296"/>
      <c r="L70" s="1386" t="s">
        <v>496</v>
      </c>
      <c r="M70" s="1386"/>
      <c r="N70" s="1386"/>
      <c r="O70" s="1468" t="s">
        <v>497</v>
      </c>
      <c r="P70" s="1527"/>
      <c r="Q70" s="1367" t="s">
        <v>614</v>
      </c>
      <c r="R70" s="1296"/>
      <c r="S70" s="1296"/>
      <c r="T70" s="1387" t="s">
        <v>496</v>
      </c>
      <c r="U70" s="1387"/>
      <c r="V70" s="1387"/>
      <c r="W70" s="1386" t="s">
        <v>497</v>
      </c>
      <c r="X70" s="1386"/>
      <c r="Y70" s="1386"/>
    </row>
    <row r="71" spans="1:25" ht="12.75" customHeight="1">
      <c r="A71" s="1296" t="s">
        <v>618</v>
      </c>
      <c r="B71" s="1296"/>
      <c r="C71" s="1296"/>
      <c r="D71" s="1296"/>
      <c r="E71" s="1296"/>
      <c r="F71" s="1296"/>
      <c r="G71" s="1296"/>
      <c r="H71" s="138"/>
      <c r="I71" s="1296"/>
      <c r="J71" s="1296"/>
      <c r="K71" s="1296"/>
      <c r="L71" s="1386"/>
      <c r="M71" s="1386"/>
      <c r="N71" s="1386"/>
      <c r="O71" s="1583"/>
      <c r="P71" s="1584"/>
      <c r="Q71" s="1587" t="s">
        <v>499</v>
      </c>
      <c r="R71" s="1587"/>
      <c r="S71" s="1587"/>
      <c r="T71" s="1587"/>
      <c r="U71" s="1587"/>
      <c r="V71" s="1587"/>
      <c r="W71" s="1587"/>
      <c r="X71" s="1587"/>
      <c r="Y71" s="1587"/>
    </row>
    <row r="72" spans="1:25" ht="12.75" customHeight="1">
      <c r="A72" s="1351" t="s">
        <v>492</v>
      </c>
      <c r="B72" s="1351"/>
      <c r="C72" s="1351"/>
      <c r="D72" s="1351"/>
      <c r="E72" s="1351"/>
      <c r="F72" s="1351"/>
      <c r="G72" s="1351"/>
      <c r="H72" s="138"/>
      <c r="I72" s="1428" t="s">
        <v>615</v>
      </c>
      <c r="J72" s="1588"/>
      <c r="K72" s="1588"/>
      <c r="L72" s="1588"/>
      <c r="M72" s="1588"/>
      <c r="N72" s="1588"/>
      <c r="O72" s="1588"/>
      <c r="P72" s="1588"/>
      <c r="Q72" s="1588"/>
      <c r="R72" s="1588"/>
      <c r="S72" s="1588"/>
      <c r="T72" s="1588"/>
      <c r="U72" s="1588"/>
      <c r="V72" s="1588"/>
      <c r="W72" s="1588"/>
      <c r="X72" s="1588"/>
      <c r="Y72" s="1589"/>
    </row>
    <row r="73" spans="1:25" ht="12.75" customHeight="1">
      <c r="A73" s="1351"/>
      <c r="B73" s="1351"/>
      <c r="C73" s="1351"/>
      <c r="D73" s="1351"/>
      <c r="E73" s="1351"/>
      <c r="F73" s="1351"/>
      <c r="G73" s="1351"/>
      <c r="H73" s="138"/>
      <c r="I73" s="1296" t="str">
        <f>"Продукция в покрытии Ре 0,45 в цветах RAL 1018 и 2004 (кроме штакетника и доборных элементов) на "&amp;(18*Belarus)&amp;" рублей дороже продукции в покрытии Ре 0,45 в остальных цветах"</f>
        <v>Продукция в покрытии Ре 0,45 в цветах RAL 1018 и 2004 (кроме штакетника и доборных элементов) на 18 рублей дороже продукции в покрытии Ре 0,45 в остальных цветах</v>
      </c>
      <c r="J73" s="1296"/>
      <c r="K73" s="1296"/>
      <c r="L73" s="1296"/>
      <c r="M73" s="1296"/>
      <c r="N73" s="1296"/>
      <c r="O73" s="1296"/>
      <c r="P73" s="1296"/>
      <c r="Q73" s="1296"/>
      <c r="R73" s="1296"/>
      <c r="S73" s="1296"/>
      <c r="T73" s="1296"/>
      <c r="U73" s="1296"/>
      <c r="V73" s="1296"/>
      <c r="W73" s="1296"/>
      <c r="X73" s="1296"/>
      <c r="Y73" s="1296"/>
    </row>
    <row r="74" spans="1:25" ht="12.75" customHeight="1">
      <c r="H74" s="138"/>
      <c r="I74" s="138"/>
      <c r="J74" s="138"/>
      <c r="K74" s="138"/>
      <c r="L74" s="138"/>
      <c r="M74" s="138"/>
      <c r="N74" s="138"/>
      <c r="O74" s="138"/>
      <c r="P74" s="138"/>
      <c r="Q74" s="138"/>
      <c r="R74" s="138"/>
      <c r="S74" s="138"/>
      <c r="T74" s="138"/>
      <c r="U74" s="138"/>
      <c r="V74" s="138"/>
      <c r="W74" s="138"/>
      <c r="X74" s="138"/>
      <c r="Y74" s="138"/>
    </row>
    <row r="75" spans="1:25">
      <c r="H75" s="138"/>
      <c r="I75" s="1381" t="s">
        <v>617</v>
      </c>
      <c r="J75" s="1382"/>
      <c r="K75" s="1382"/>
      <c r="L75" s="1382"/>
      <c r="M75" s="1382"/>
      <c r="N75" s="1382"/>
      <c r="O75" s="1382"/>
      <c r="P75" s="1382"/>
      <c r="Q75" s="1383"/>
      <c r="S75" s="1388" t="s">
        <v>486</v>
      </c>
      <c r="T75" s="1388"/>
      <c r="U75" s="1388"/>
      <c r="V75" s="1388"/>
      <c r="W75" s="1388"/>
      <c r="X75" s="1388"/>
      <c r="Y75" s="1388"/>
    </row>
    <row r="76" spans="1:25" ht="12.75" customHeight="1">
      <c r="H76" s="138"/>
      <c r="I76" s="1592" t="s">
        <v>498</v>
      </c>
      <c r="J76" s="1593"/>
      <c r="K76" s="1593"/>
      <c r="L76" s="1593"/>
      <c r="M76" s="1593"/>
      <c r="N76" s="1594"/>
      <c r="O76" s="1590" t="str">
        <f>(1000*Belarus)&amp;" руб."</f>
        <v>1000 руб.</v>
      </c>
      <c r="P76" s="1590"/>
      <c r="Q76" s="1590"/>
      <c r="S76" s="1296" t="s">
        <v>489</v>
      </c>
      <c r="T76" s="1296"/>
      <c r="U76" s="1296"/>
      <c r="V76" s="1296"/>
      <c r="W76" s="1591">
        <v>0.1</v>
      </c>
      <c r="X76" s="1591"/>
      <c r="Y76" s="1591"/>
    </row>
    <row r="77" spans="1:25">
      <c r="H77" s="138"/>
      <c r="I77" s="1592" t="s">
        <v>501</v>
      </c>
      <c r="J77" s="1593"/>
      <c r="K77" s="1593"/>
      <c r="L77" s="1593"/>
      <c r="M77" s="1593"/>
      <c r="N77" s="1594"/>
      <c r="O77" s="1590" t="str">
        <f>(200*Belarus)&amp;" руб."</f>
        <v>200 руб.</v>
      </c>
      <c r="P77" s="1590"/>
      <c r="Q77" s="1590"/>
    </row>
    <row r="78" spans="1:25">
      <c r="H78" s="138"/>
    </row>
    <row r="79" spans="1:25">
      <c r="H79" s="138"/>
    </row>
    <row r="80" spans="1:25">
      <c r="H80" s="138"/>
    </row>
    <row r="81" spans="1:25">
      <c r="A81" s="127"/>
      <c r="B81" s="127"/>
      <c r="C81" s="127"/>
      <c r="D81" s="127"/>
      <c r="E81" s="127"/>
      <c r="F81" s="127"/>
      <c r="G81" s="127"/>
      <c r="H81" s="138"/>
    </row>
    <row r="82" spans="1:25">
      <c r="A82" s="127"/>
      <c r="B82" s="127"/>
      <c r="C82" s="127"/>
      <c r="D82" s="127"/>
      <c r="E82" s="127"/>
      <c r="F82" s="127"/>
      <c r="G82" s="127"/>
      <c r="H82" s="138"/>
    </row>
    <row r="83" spans="1:25">
      <c r="H83" s="138"/>
    </row>
    <row r="85" spans="1:25" ht="12.75" customHeight="1">
      <c r="A85" s="1508" t="s">
        <v>508</v>
      </c>
      <c r="B85" s="1509"/>
      <c r="C85" s="1510"/>
      <c r="D85" s="1339" t="s">
        <v>320</v>
      </c>
      <c r="E85" s="1339"/>
      <c r="F85" s="1339"/>
      <c r="G85" s="1307" t="s">
        <v>321</v>
      </c>
      <c r="H85" s="1308"/>
      <c r="I85" s="1308"/>
      <c r="J85" s="1309"/>
      <c r="K85" s="1340" t="s">
        <v>619</v>
      </c>
      <c r="L85" s="1307" t="s">
        <v>323</v>
      </c>
      <c r="M85" s="1339" t="s">
        <v>620</v>
      </c>
      <c r="N85" s="1339" t="s">
        <v>5344</v>
      </c>
      <c r="O85" s="1339" t="s">
        <v>512</v>
      </c>
      <c r="P85" s="1340" t="s">
        <v>334</v>
      </c>
      <c r="Q85" s="1340" t="s">
        <v>335</v>
      </c>
      <c r="R85" s="1595" t="s">
        <v>325</v>
      </c>
      <c r="S85" s="1595"/>
      <c r="T85" s="1595"/>
      <c r="U85" s="1595"/>
      <c r="V85" s="1595"/>
      <c r="W85" s="1595"/>
      <c r="X85" s="1595"/>
      <c r="Y85" s="904" t="s">
        <v>101</v>
      </c>
    </row>
    <row r="86" spans="1:25" ht="53.25" customHeight="1">
      <c r="A86" s="1511"/>
      <c r="B86" s="1512"/>
      <c r="C86" s="1513"/>
      <c r="D86" s="1339"/>
      <c r="E86" s="1339"/>
      <c r="F86" s="1339"/>
      <c r="G86" s="1310"/>
      <c r="H86" s="1311"/>
      <c r="I86" s="1311"/>
      <c r="J86" s="1312"/>
      <c r="K86" s="1341"/>
      <c r="L86" s="1310"/>
      <c r="M86" s="1339"/>
      <c r="N86" s="1339"/>
      <c r="O86" s="1339"/>
      <c r="P86" s="1341"/>
      <c r="Q86" s="1341"/>
      <c r="R86" s="145" t="s">
        <v>336</v>
      </c>
      <c r="S86" s="145">
        <v>0.8</v>
      </c>
      <c r="T86" s="145">
        <v>0.7</v>
      </c>
      <c r="U86" s="145">
        <v>0.65</v>
      </c>
      <c r="V86" s="1595">
        <v>0.45</v>
      </c>
      <c r="W86" s="1595"/>
      <c r="X86" s="145">
        <v>0.4</v>
      </c>
      <c r="Y86" s="141" t="s">
        <v>337</v>
      </c>
    </row>
    <row r="87" spans="1:25" ht="15" customHeight="1">
      <c r="A87" s="1582" t="s">
        <v>247</v>
      </c>
      <c r="B87" s="1582"/>
      <c r="C87" s="1582"/>
      <c r="D87" s="1387">
        <v>0</v>
      </c>
      <c r="E87" s="1387"/>
      <c r="F87" s="1387"/>
      <c r="G87" s="1597">
        <v>0</v>
      </c>
      <c r="H87" s="1598"/>
      <c r="I87" s="1598"/>
      <c r="J87" s="1599"/>
      <c r="K87" s="1387">
        <v>0</v>
      </c>
      <c r="L87" s="1597">
        <v>0</v>
      </c>
      <c r="M87" s="1387">
        <v>0</v>
      </c>
      <c r="N87" s="1387">
        <v>0</v>
      </c>
      <c r="O87" s="1387">
        <v>0</v>
      </c>
      <c r="P87" s="133">
        <v>0</v>
      </c>
      <c r="Q87" s="133">
        <v>0</v>
      </c>
      <c r="R87" s="790" t="s">
        <v>369</v>
      </c>
      <c r="S87" s="790" t="s">
        <v>369</v>
      </c>
      <c r="T87" s="790" t="s">
        <v>369</v>
      </c>
      <c r="U87" s="790" t="s">
        <v>369</v>
      </c>
      <c r="V87" s="1387">
        <v>0</v>
      </c>
      <c r="W87" s="1387"/>
      <c r="X87" s="133">
        <v>0</v>
      </c>
      <c r="Y87" s="133">
        <v>0</v>
      </c>
    </row>
    <row r="88" spans="1:25" ht="15" customHeight="1">
      <c r="A88" s="1582" t="s">
        <v>518</v>
      </c>
      <c r="B88" s="1582"/>
      <c r="C88" s="1582"/>
      <c r="D88" s="1387"/>
      <c r="E88" s="1387"/>
      <c r="F88" s="1387"/>
      <c r="G88" s="1600"/>
      <c r="H88" s="1601"/>
      <c r="I88" s="1601"/>
      <c r="J88" s="1602"/>
      <c r="K88" s="1387"/>
      <c r="L88" s="1600"/>
      <c r="M88" s="1387"/>
      <c r="N88" s="1387"/>
      <c r="O88" s="1387"/>
      <c r="P88" s="133">
        <v>0</v>
      </c>
      <c r="Q88" s="133">
        <v>0</v>
      </c>
      <c r="R88" s="790" t="s">
        <v>369</v>
      </c>
      <c r="S88" s="790" t="s">
        <v>369</v>
      </c>
      <c r="T88" s="790">
        <v>0</v>
      </c>
      <c r="U88" s="790">
        <v>0</v>
      </c>
      <c r="V88" s="1387">
        <v>0</v>
      </c>
      <c r="W88" s="1387"/>
      <c r="X88" s="133">
        <v>0</v>
      </c>
      <c r="Y88" s="133">
        <v>0</v>
      </c>
    </row>
    <row r="89" spans="1:25" ht="12.75" customHeight="1">
      <c r="A89" s="1582" t="s">
        <v>519</v>
      </c>
      <c r="B89" s="1582"/>
      <c r="C89" s="1582"/>
      <c r="D89" s="1387"/>
      <c r="E89" s="1387"/>
      <c r="F89" s="1387"/>
      <c r="G89" s="1600"/>
      <c r="H89" s="1601"/>
      <c r="I89" s="1601"/>
      <c r="J89" s="1602"/>
      <c r="K89" s="1387"/>
      <c r="L89" s="1600"/>
      <c r="M89" s="1387"/>
      <c r="N89" s="1387"/>
      <c r="O89" s="1387"/>
      <c r="P89" s="133">
        <v>0</v>
      </c>
      <c r="Q89" s="133">
        <v>0</v>
      </c>
      <c r="R89" s="790">
        <v>0</v>
      </c>
      <c r="S89" s="790">
        <v>0</v>
      </c>
      <c r="T89" s="790">
        <v>0</v>
      </c>
      <c r="U89" s="790">
        <v>0</v>
      </c>
      <c r="V89" s="1387">
        <v>0</v>
      </c>
      <c r="W89" s="1387"/>
      <c r="X89" s="133">
        <v>0</v>
      </c>
      <c r="Y89" s="133">
        <v>0</v>
      </c>
    </row>
    <row r="90" spans="1:25">
      <c r="A90" s="1582" t="s">
        <v>520</v>
      </c>
      <c r="B90" s="1582"/>
      <c r="C90" s="1582"/>
      <c r="D90" s="1387"/>
      <c r="E90" s="1387"/>
      <c r="F90" s="1387"/>
      <c r="G90" s="1603"/>
      <c r="H90" s="1604"/>
      <c r="I90" s="1604"/>
      <c r="J90" s="1605"/>
      <c r="K90" s="1387"/>
      <c r="L90" s="1600"/>
      <c r="M90" s="1596"/>
      <c r="N90" s="1596"/>
      <c r="O90" s="1596"/>
      <c r="P90" s="133">
        <v>0</v>
      </c>
      <c r="Q90" s="133">
        <v>0</v>
      </c>
      <c r="R90" s="790">
        <v>0</v>
      </c>
      <c r="S90" s="790">
        <v>0</v>
      </c>
      <c r="T90" s="790">
        <v>0</v>
      </c>
      <c r="U90" s="790">
        <v>0</v>
      </c>
      <c r="V90" s="1387">
        <v>0</v>
      </c>
      <c r="W90" s="1387"/>
      <c r="X90" s="133">
        <v>0</v>
      </c>
      <c r="Y90" s="133">
        <v>0</v>
      </c>
    </row>
    <row r="91" spans="1:25">
      <c r="A91" s="1582" t="s">
        <v>522</v>
      </c>
      <c r="B91" s="1582"/>
      <c r="C91" s="1582"/>
      <c r="D91" s="1485">
        <v>0</v>
      </c>
      <c r="E91" s="1486"/>
      <c r="F91" s="1486"/>
      <c r="G91" s="1486"/>
      <c r="H91" s="1486"/>
      <c r="I91" s="1486"/>
      <c r="J91" s="1486"/>
      <c r="K91" s="1486"/>
      <c r="L91" s="1486"/>
      <c r="M91" s="1486"/>
      <c r="N91" s="1486"/>
      <c r="O91" s="1486"/>
      <c r="P91" s="1486"/>
      <c r="Q91" s="1486"/>
      <c r="R91" s="1486"/>
      <c r="S91" s="1486"/>
      <c r="T91" s="1486"/>
      <c r="U91" s="1486"/>
      <c r="V91" s="1486"/>
      <c r="W91" s="1486"/>
      <c r="X91" s="1486"/>
      <c r="Y91" s="1487"/>
    </row>
  </sheetData>
  <sheetProtection selectLockedCells="1" selectUnlockedCells="1"/>
  <mergeCells count="247">
    <mergeCell ref="A58:G61"/>
    <mergeCell ref="I39:P40"/>
    <mergeCell ref="I47:L47"/>
    <mergeCell ref="P47:Q47"/>
    <mergeCell ref="P46:Q46"/>
    <mergeCell ref="I44:L45"/>
    <mergeCell ref="I41:Y41"/>
    <mergeCell ref="X39:Y39"/>
    <mergeCell ref="R47:V47"/>
    <mergeCell ref="W47:Y47"/>
    <mergeCell ref="V86:W86"/>
    <mergeCell ref="N87:N90"/>
    <mergeCell ref="K87:K90"/>
    <mergeCell ref="L87:L90"/>
    <mergeCell ref="M47:N47"/>
    <mergeCell ref="M48:N48"/>
    <mergeCell ref="I59:N62"/>
    <mergeCell ref="L65:N65"/>
    <mergeCell ref="L66:N66"/>
    <mergeCell ref="M87:M90"/>
    <mergeCell ref="A91:C91"/>
    <mergeCell ref="V87:W87"/>
    <mergeCell ref="A88:C88"/>
    <mergeCell ref="V88:W88"/>
    <mergeCell ref="A89:C89"/>
    <mergeCell ref="V89:W89"/>
    <mergeCell ref="A90:C90"/>
    <mergeCell ref="V90:W90"/>
    <mergeCell ref="A87:C87"/>
    <mergeCell ref="D87:F90"/>
    <mergeCell ref="O87:O90"/>
    <mergeCell ref="K85:K86"/>
    <mergeCell ref="L85:L86"/>
    <mergeCell ref="M85:M86"/>
    <mergeCell ref="O85:O86"/>
    <mergeCell ref="G87:J90"/>
    <mergeCell ref="O76:Q76"/>
    <mergeCell ref="S76:V76"/>
    <mergeCell ref="W76:Y76"/>
    <mergeCell ref="O77:Q77"/>
    <mergeCell ref="N85:N86"/>
    <mergeCell ref="I76:N76"/>
    <mergeCell ref="I77:N77"/>
    <mergeCell ref="P85:P86"/>
    <mergeCell ref="Q85:Q86"/>
    <mergeCell ref="R85:X85"/>
    <mergeCell ref="I75:Q75"/>
    <mergeCell ref="I69:K69"/>
    <mergeCell ref="Q69:S69"/>
    <mergeCell ref="T69:V69"/>
    <mergeCell ref="S75:Y75"/>
    <mergeCell ref="L70:N71"/>
    <mergeCell ref="I70:K71"/>
    <mergeCell ref="O70:P71"/>
    <mergeCell ref="Q71:Y71"/>
    <mergeCell ref="I72:Y72"/>
    <mergeCell ref="Q70:S70"/>
    <mergeCell ref="T70:V70"/>
    <mergeCell ref="I67:K67"/>
    <mergeCell ref="I73:Y73"/>
    <mergeCell ref="O61:W61"/>
    <mergeCell ref="I64:P64"/>
    <mergeCell ref="Q64:Y65"/>
    <mergeCell ref="Q68:S68"/>
    <mergeCell ref="W70:Y70"/>
    <mergeCell ref="X61:Y61"/>
    <mergeCell ref="X62:Y62"/>
    <mergeCell ref="L68:N68"/>
    <mergeCell ref="A67:G67"/>
    <mergeCell ref="I65:K65"/>
    <mergeCell ref="O65:P65"/>
    <mergeCell ref="T67:V67"/>
    <mergeCell ref="W67:Y69"/>
    <mergeCell ref="O66:P69"/>
    <mergeCell ref="Q67:S67"/>
    <mergeCell ref="L69:N69"/>
    <mergeCell ref="L67:N67"/>
    <mergeCell ref="I68:K68"/>
    <mergeCell ref="T68:V68"/>
    <mergeCell ref="O59:W59"/>
    <mergeCell ref="Q66:S66"/>
    <mergeCell ref="O62:W62"/>
    <mergeCell ref="X59:Y59"/>
    <mergeCell ref="X52:Y52"/>
    <mergeCell ref="T66:V66"/>
    <mergeCell ref="W66:Y66"/>
    <mergeCell ref="I66:K66"/>
    <mergeCell ref="I53:W53"/>
    <mergeCell ref="X53:Y53"/>
    <mergeCell ref="O60:W60"/>
    <mergeCell ref="X60:Y60"/>
    <mergeCell ref="X54:Y54"/>
    <mergeCell ref="I55:W55"/>
    <mergeCell ref="X55:Y55"/>
    <mergeCell ref="I56:W56"/>
    <mergeCell ref="X56:Y56"/>
    <mergeCell ref="I58:W58"/>
    <mergeCell ref="X58:Y58"/>
    <mergeCell ref="A51:D51"/>
    <mergeCell ref="E51:G51"/>
    <mergeCell ref="A52:D52"/>
    <mergeCell ref="E52:G52"/>
    <mergeCell ref="I57:W57"/>
    <mergeCell ref="X57:Y57"/>
    <mergeCell ref="A53:D53"/>
    <mergeCell ref="E53:G53"/>
    <mergeCell ref="I52:W52"/>
    <mergeCell ref="I54:W54"/>
    <mergeCell ref="I49:L49"/>
    <mergeCell ref="P49:Q49"/>
    <mergeCell ref="R49:V49"/>
    <mergeCell ref="W49:Y49"/>
    <mergeCell ref="I48:L48"/>
    <mergeCell ref="P48:Q48"/>
    <mergeCell ref="R48:V48"/>
    <mergeCell ref="W48:Y48"/>
    <mergeCell ref="M49:N49"/>
    <mergeCell ref="A48:D48"/>
    <mergeCell ref="E48:G48"/>
    <mergeCell ref="P45:Q45"/>
    <mergeCell ref="R45:V45"/>
    <mergeCell ref="W45:Y45"/>
    <mergeCell ref="I46:L46"/>
    <mergeCell ref="M44:N45"/>
    <mergeCell ref="M46:N46"/>
    <mergeCell ref="R46:V46"/>
    <mergeCell ref="W46:Y46"/>
    <mergeCell ref="I43:Y43"/>
    <mergeCell ref="A43:D43"/>
    <mergeCell ref="E43:G43"/>
    <mergeCell ref="P44:Y44"/>
    <mergeCell ref="A44:D44"/>
    <mergeCell ref="A45:D46"/>
    <mergeCell ref="E45:G46"/>
    <mergeCell ref="O44:O45"/>
    <mergeCell ref="A40:D41"/>
    <mergeCell ref="E40:G41"/>
    <mergeCell ref="Q40:S40"/>
    <mergeCell ref="V40:W40"/>
    <mergeCell ref="T39:U40"/>
    <mergeCell ref="X40:Y40"/>
    <mergeCell ref="A39:D39"/>
    <mergeCell ref="E39:G39"/>
    <mergeCell ref="Q39:S39"/>
    <mergeCell ref="V39:W39"/>
    <mergeCell ref="V38:W38"/>
    <mergeCell ref="X38:Y38"/>
    <mergeCell ref="I37:P38"/>
    <mergeCell ref="C37:D37"/>
    <mergeCell ref="T37:U37"/>
    <mergeCell ref="V37:W37"/>
    <mergeCell ref="Q37:S38"/>
    <mergeCell ref="X37:Y37"/>
    <mergeCell ref="T38:U38"/>
    <mergeCell ref="E37:F37"/>
    <mergeCell ref="A33:A34"/>
    <mergeCell ref="V35:W35"/>
    <mergeCell ref="X35:Y35"/>
    <mergeCell ref="T36:U36"/>
    <mergeCell ref="V36:W36"/>
    <mergeCell ref="X36:Y36"/>
    <mergeCell ref="Q35:S36"/>
    <mergeCell ref="A35:A37"/>
    <mergeCell ref="B35:B36"/>
    <mergeCell ref="C35:D36"/>
    <mergeCell ref="G35:G36"/>
    <mergeCell ref="I35:P36"/>
    <mergeCell ref="T35:U35"/>
    <mergeCell ref="G9:G10"/>
    <mergeCell ref="F9:F10"/>
    <mergeCell ref="B32:D32"/>
    <mergeCell ref="T33:U34"/>
    <mergeCell ref="D9:D10"/>
    <mergeCell ref="E9:E10"/>
    <mergeCell ref="R9:R10"/>
    <mergeCell ref="B33:D34"/>
    <mergeCell ref="E33:G34"/>
    <mergeCell ref="I33:P34"/>
    <mergeCell ref="Q33:S34"/>
    <mergeCell ref="S9:S10"/>
    <mergeCell ref="P9:P10"/>
    <mergeCell ref="Q9:Q10"/>
    <mergeCell ref="E32:G32"/>
    <mergeCell ref="I32:Y32"/>
    <mergeCell ref="O9:O10"/>
    <mergeCell ref="Y7:Y8"/>
    <mergeCell ref="V8:W8"/>
    <mergeCell ref="S7:X7"/>
    <mergeCell ref="X9:X10"/>
    <mergeCell ref="Y9:Y10"/>
    <mergeCell ref="I9:I10"/>
    <mergeCell ref="T9:T10"/>
    <mergeCell ref="M9:M10"/>
    <mergeCell ref="A9:C10"/>
    <mergeCell ref="N9:N10"/>
    <mergeCell ref="J9:J10"/>
    <mergeCell ref="K9:K10"/>
    <mergeCell ref="A7:C7"/>
    <mergeCell ref="A8:C8"/>
    <mergeCell ref="H9:H10"/>
    <mergeCell ref="A4:A6"/>
    <mergeCell ref="B4:B6"/>
    <mergeCell ref="C4:C6"/>
    <mergeCell ref="D4:Y4"/>
    <mergeCell ref="D5:F5"/>
    <mergeCell ref="K5:K6"/>
    <mergeCell ref="S6:X6"/>
    <mergeCell ref="A1:D1"/>
    <mergeCell ref="A2:T2"/>
    <mergeCell ref="O5:Q5"/>
    <mergeCell ref="R5:X5"/>
    <mergeCell ref="G5:J5"/>
    <mergeCell ref="A85:C86"/>
    <mergeCell ref="E44:G44"/>
    <mergeCell ref="A49:D49"/>
    <mergeCell ref="E49:G49"/>
    <mergeCell ref="U9:U10"/>
    <mergeCell ref="A50:D50"/>
    <mergeCell ref="E50:G50"/>
    <mergeCell ref="A57:G57"/>
    <mergeCell ref="D85:F86"/>
    <mergeCell ref="A69:G69"/>
    <mergeCell ref="A70:G70"/>
    <mergeCell ref="A71:G71"/>
    <mergeCell ref="G85:J86"/>
    <mergeCell ref="A66:G66"/>
    <mergeCell ref="I50:Y50"/>
    <mergeCell ref="X2:Y2"/>
    <mergeCell ref="X3:Y3"/>
    <mergeCell ref="L5:L6"/>
    <mergeCell ref="M5:M6"/>
    <mergeCell ref="N5:N6"/>
    <mergeCell ref="E35:F36"/>
    <mergeCell ref="V33:W34"/>
    <mergeCell ref="X33:Y34"/>
    <mergeCell ref="V9:W9"/>
    <mergeCell ref="L9:L10"/>
    <mergeCell ref="D91:Y91"/>
    <mergeCell ref="A47:D47"/>
    <mergeCell ref="E47:G47"/>
    <mergeCell ref="E42:G42"/>
    <mergeCell ref="A42:D42"/>
    <mergeCell ref="A63:G65"/>
    <mergeCell ref="A72:G73"/>
    <mergeCell ref="A56:G56"/>
    <mergeCell ref="A62:G62"/>
    <mergeCell ref="A68:G68"/>
  </mergeCells>
  <hyperlinks>
    <hyperlink ref="I59:L62" location="'1_23_Дымники и колпаки на заказ'!A1" display="Дымник на трубу - изготавливаются под размер заказчика. Подробный расчет в зависимости от размера на странице 23 в разделе 1.22. Дымники и колпаки под заказ"/>
    <hyperlink ref="A1" location="Содержание прайса!A1" display="Вернуться в начало"/>
    <hyperlink ref="A1:D1" location="'Содержание прайса'!A1" display="Вернуться в начало"/>
    <hyperlink ref="I59:M62" location="'1_24_Дымники и колпаки на заказ'!A1" display="Дымник на трубу - изготавливаются под размер заказчика. Подробный расчет в зависимости от размера на странице 27 в разделе 1.24. Дымники и колпаки под заказ"/>
    <hyperlink ref="I59:N62" location="'1_25_Дымники и колпаки на заказ'!A1" display="'1_25_Дымники и колпаки на заказ'!A1"/>
  </hyperlinks>
  <printOptions horizontalCentered="1"/>
  <pageMargins left="0" right="0" top="0.47244094488188981" bottom="0" header="0" footer="0"/>
  <pageSetup paperSize="9" scale="45"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4</oddFooter>
  </headerFooter>
  <legacy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pageSetUpPr fitToPage="1"/>
  </sheetPr>
  <dimension ref="A1:K64"/>
  <sheetViews>
    <sheetView zoomScale="70" zoomScaleNormal="70" zoomScaleSheetLayoutView="40" workbookViewId="0">
      <selection activeCell="A2" sqref="A2:F2"/>
    </sheetView>
  </sheetViews>
  <sheetFormatPr defaultRowHeight="15"/>
  <cols>
    <col min="1" max="1" width="30.85546875" style="1061" customWidth="1"/>
    <col min="2" max="2" width="58.5703125" style="1061" customWidth="1"/>
    <col min="3" max="3" width="17.28515625" style="1061" customWidth="1"/>
    <col min="4" max="4" width="24.140625" style="1061" customWidth="1"/>
    <col min="5" max="6" width="14.28515625" style="1061" customWidth="1"/>
    <col min="7" max="7" width="15.28515625" style="1061" customWidth="1"/>
    <col min="8" max="8" width="14.42578125" style="1061" customWidth="1"/>
    <col min="9" max="9" width="23.42578125" style="1061" customWidth="1"/>
    <col min="10" max="10" width="37.28515625" style="1061" customWidth="1"/>
    <col min="11" max="11" width="6.7109375" style="1061" customWidth="1"/>
    <col min="12" max="16384" width="9.140625" style="1061"/>
  </cols>
  <sheetData>
    <row r="1" spans="1:11">
      <c r="A1" s="1666" t="s">
        <v>312</v>
      </c>
      <c r="B1" s="1666"/>
      <c r="C1" s="1666"/>
      <c r="D1" s="1666"/>
      <c r="E1" s="275"/>
      <c r="F1" s="275"/>
      <c r="G1" s="275"/>
      <c r="H1" s="46"/>
      <c r="I1" s="46"/>
      <c r="J1" s="46"/>
      <c r="K1" s="46"/>
    </row>
    <row r="2" spans="1:11" ht="18.75" thickBot="1">
      <c r="A2" s="2305" t="s">
        <v>5315</v>
      </c>
      <c r="B2" s="2305"/>
      <c r="C2" s="2305"/>
      <c r="D2" s="2305"/>
      <c r="E2" s="2305"/>
      <c r="F2" s="2305"/>
      <c r="G2" s="754"/>
      <c r="H2" s="734"/>
      <c r="I2" s="734" t="s">
        <v>313</v>
      </c>
      <c r="J2" s="742">
        <v>43234</v>
      </c>
      <c r="K2" s="46"/>
    </row>
    <row r="3" spans="1:11" ht="16.5" customHeight="1">
      <c r="A3" s="531"/>
      <c r="B3" s="531"/>
      <c r="C3" s="531"/>
      <c r="D3" s="46"/>
      <c r="E3" s="532"/>
      <c r="F3" s="533"/>
      <c r="G3" s="533"/>
      <c r="H3" s="534"/>
      <c r="I3" s="534" t="s">
        <v>804</v>
      </c>
      <c r="J3" s="393">
        <v>43213</v>
      </c>
      <c r="K3" s="46"/>
    </row>
    <row r="4" spans="1:11" ht="66" customHeight="1">
      <c r="A4" s="2643" t="s">
        <v>1452</v>
      </c>
      <c r="B4" s="2643" t="s">
        <v>307</v>
      </c>
      <c r="C4" s="2643" t="s">
        <v>2875</v>
      </c>
      <c r="D4" s="2642" t="s">
        <v>2876</v>
      </c>
      <c r="E4" s="2645" t="s">
        <v>2877</v>
      </c>
      <c r="F4" s="2642" t="s">
        <v>2878</v>
      </c>
      <c r="G4" s="2642" t="s">
        <v>2794</v>
      </c>
      <c r="H4" s="2642" t="s">
        <v>5316</v>
      </c>
      <c r="I4" s="1388" t="s">
        <v>2879</v>
      </c>
      <c r="J4" s="1388"/>
      <c r="K4" s="96"/>
    </row>
    <row r="5" spans="1:11" ht="12.75" customHeight="1">
      <c r="A5" s="2645"/>
      <c r="B5" s="2645"/>
      <c r="C5" s="2645"/>
      <c r="D5" s="2643"/>
      <c r="E5" s="2645"/>
      <c r="F5" s="2643"/>
      <c r="G5" s="2643"/>
      <c r="H5" s="2643"/>
      <c r="I5" s="2644" t="s">
        <v>2880</v>
      </c>
      <c r="J5" s="2644"/>
      <c r="K5" s="96"/>
    </row>
    <row r="6" spans="1:11" ht="12.75" customHeight="1">
      <c r="A6" s="2638" t="s">
        <v>5317</v>
      </c>
      <c r="B6" s="2639"/>
      <c r="C6" s="2639"/>
      <c r="D6" s="2639"/>
      <c r="E6" s="2639"/>
      <c r="F6" s="2639"/>
      <c r="G6" s="2639"/>
      <c r="H6" s="2639"/>
      <c r="I6" s="2639"/>
      <c r="J6" s="2640"/>
      <c r="K6" s="96"/>
    </row>
    <row r="7" spans="1:11" s="1019" customFormat="1" ht="19.5" customHeight="1">
      <c r="A7" s="2641"/>
      <c r="B7" s="2641" t="s">
        <v>5318</v>
      </c>
      <c r="C7" s="662" t="s">
        <v>2881</v>
      </c>
      <c r="D7" s="662" t="s">
        <v>2882</v>
      </c>
      <c r="E7" s="662">
        <v>3</v>
      </c>
      <c r="F7" s="662">
        <v>7.37</v>
      </c>
      <c r="G7" s="662">
        <v>80</v>
      </c>
      <c r="H7" s="1062">
        <f>ROUND(1447*Belarus*(1-C63),2)</f>
        <v>1447</v>
      </c>
      <c r="I7" s="2627">
        <f>ROUND(883*Belarus*(1-C63),2)</f>
        <v>883</v>
      </c>
      <c r="J7" s="2628"/>
      <c r="K7" s="184"/>
    </row>
    <row r="8" spans="1:11" s="1019" customFormat="1" ht="19.5" customHeight="1">
      <c r="A8" s="2641"/>
      <c r="B8" s="2641"/>
      <c r="C8" s="535" t="s">
        <v>2883</v>
      </c>
      <c r="D8" s="535" t="s">
        <v>2882</v>
      </c>
      <c r="E8" s="535">
        <v>3</v>
      </c>
      <c r="F8" s="535">
        <v>8.41</v>
      </c>
      <c r="G8" s="535">
        <v>80</v>
      </c>
      <c r="H8" s="1063">
        <f>ROUND(1551*Belarus*(1-C63),2)</f>
        <v>1551</v>
      </c>
      <c r="I8" s="2627">
        <f>ROUND(924*Belarus*(1-C63),2)</f>
        <v>924</v>
      </c>
      <c r="J8" s="2628"/>
      <c r="K8" s="184"/>
    </row>
    <row r="9" spans="1:11" s="1019" customFormat="1" ht="22.5" customHeight="1">
      <c r="A9" s="2641"/>
      <c r="B9" s="2641"/>
      <c r="C9" s="535" t="s">
        <v>2884</v>
      </c>
      <c r="D9" s="535" t="s">
        <v>2882</v>
      </c>
      <c r="E9" s="535">
        <v>4</v>
      </c>
      <c r="F9" s="535">
        <v>9.98</v>
      </c>
      <c r="G9" s="535">
        <v>80</v>
      </c>
      <c r="H9" s="1063">
        <f>ROUND(1727*Belarus*(1-C63),2)</f>
        <v>1727</v>
      </c>
      <c r="I9" s="2627">
        <f>ROUND(1008*Belarus*(1-C63),2)</f>
        <v>1008</v>
      </c>
      <c r="J9" s="2628"/>
      <c r="K9" s="184"/>
    </row>
    <row r="10" spans="1:11" s="1019" customFormat="1" ht="12.75" customHeight="1">
      <c r="A10" s="2638" t="s">
        <v>5319</v>
      </c>
      <c r="B10" s="2639"/>
      <c r="C10" s="2639"/>
      <c r="D10" s="2639"/>
      <c r="E10" s="2639"/>
      <c r="F10" s="2639"/>
      <c r="G10" s="2639"/>
      <c r="H10" s="2639"/>
      <c r="I10" s="2639"/>
      <c r="J10" s="2640"/>
      <c r="K10" s="184"/>
    </row>
    <row r="11" spans="1:11">
      <c r="A11" s="2641"/>
      <c r="B11" s="2629" t="s">
        <v>2885</v>
      </c>
      <c r="C11" s="535" t="s">
        <v>2886</v>
      </c>
      <c r="D11" s="535" t="s">
        <v>1510</v>
      </c>
      <c r="E11" s="535">
        <v>2</v>
      </c>
      <c r="F11" s="668">
        <v>6.58</v>
      </c>
      <c r="G11" s="669">
        <v>70</v>
      </c>
      <c r="H11" s="786">
        <f>ROUND(1111*Belarus*(1-C63),2)</f>
        <v>1111</v>
      </c>
      <c r="I11" s="2627">
        <f>ROUND(701*Belarus*(1-C63),2)</f>
        <v>701</v>
      </c>
      <c r="J11" s="2628"/>
      <c r="K11" s="501"/>
    </row>
    <row r="12" spans="1:11">
      <c r="A12" s="2641"/>
      <c r="B12" s="2629"/>
      <c r="C12" s="540" t="s">
        <v>2881</v>
      </c>
      <c r="D12" s="535" t="s">
        <v>1510</v>
      </c>
      <c r="E12" s="541">
        <v>3</v>
      </c>
      <c r="F12" s="542">
        <v>9.6999999999999993</v>
      </c>
      <c r="G12" s="543">
        <v>70</v>
      </c>
      <c r="H12" s="1063">
        <f>ROUND(1574*Belarus*(1-C63),2)</f>
        <v>1574</v>
      </c>
      <c r="I12" s="2627">
        <f>ROUND(966*Belarus*(1-C63),2)</f>
        <v>966</v>
      </c>
      <c r="J12" s="2628"/>
      <c r="K12" s="501"/>
    </row>
    <row r="13" spans="1:11">
      <c r="A13" s="2641"/>
      <c r="B13" s="2629"/>
      <c r="C13" s="540" t="s">
        <v>2883</v>
      </c>
      <c r="D13" s="535" t="s">
        <v>1510</v>
      </c>
      <c r="E13" s="541">
        <v>3</v>
      </c>
      <c r="F13" s="542">
        <v>10.76</v>
      </c>
      <c r="G13" s="543">
        <v>70</v>
      </c>
      <c r="H13" s="1063">
        <f>ROUND(1678*Belarus*(1-C63),2)</f>
        <v>1678</v>
      </c>
      <c r="I13" s="2627">
        <f>ROUND(1106*Belarus*(1-C63),2)</f>
        <v>1106</v>
      </c>
      <c r="J13" s="2628"/>
      <c r="K13" s="501"/>
    </row>
    <row r="14" spans="1:11">
      <c r="A14" s="2641"/>
      <c r="B14" s="2629"/>
      <c r="C14" s="540" t="s">
        <v>2884</v>
      </c>
      <c r="D14" s="535" t="s">
        <v>1510</v>
      </c>
      <c r="E14" s="541">
        <v>4</v>
      </c>
      <c r="F14" s="542">
        <v>12.81</v>
      </c>
      <c r="G14" s="543">
        <v>70</v>
      </c>
      <c r="H14" s="1063">
        <f>ROUND(1998*Belarus*(1-C63),2)</f>
        <v>1998</v>
      </c>
      <c r="I14" s="2627">
        <f>ROUND(1234*Belarus*(1-C63),2)</f>
        <v>1234</v>
      </c>
      <c r="J14" s="2628"/>
      <c r="K14" s="501"/>
    </row>
    <row r="15" spans="1:11">
      <c r="A15" s="2641"/>
      <c r="B15" s="2629"/>
      <c r="C15" s="540" t="s">
        <v>2887</v>
      </c>
      <c r="D15" s="535" t="s">
        <v>1510</v>
      </c>
      <c r="E15" s="541">
        <v>4</v>
      </c>
      <c r="F15" s="542">
        <v>14.93</v>
      </c>
      <c r="G15" s="543">
        <v>70</v>
      </c>
      <c r="H15" s="1063">
        <f>ROUND(2328*Belarus*(1-C63),2)</f>
        <v>2328</v>
      </c>
      <c r="I15" s="2627">
        <f>ROUND(1430*Belarus*(1-C63),2)</f>
        <v>1430</v>
      </c>
      <c r="J15" s="2628"/>
      <c r="K15" s="501"/>
    </row>
    <row r="16" spans="1:11">
      <c r="A16" s="2641"/>
      <c r="B16" s="2635" t="s">
        <v>5320</v>
      </c>
      <c r="C16" s="535" t="s">
        <v>2888</v>
      </c>
      <c r="D16" s="535" t="s">
        <v>2882</v>
      </c>
      <c r="E16" s="541">
        <v>2</v>
      </c>
      <c r="F16" s="542">
        <v>4.46</v>
      </c>
      <c r="G16" s="543">
        <v>140</v>
      </c>
      <c r="H16" s="786">
        <f>ROUND(880*Belarus*(1-C642),2)</f>
        <v>880</v>
      </c>
      <c r="I16" s="2627">
        <f>ROUND(605*Belarus*(1-C63),2)</f>
        <v>605</v>
      </c>
      <c r="J16" s="2628"/>
      <c r="K16" s="501"/>
    </row>
    <row r="17" spans="1:11" ht="12.75" customHeight="1">
      <c r="A17" s="2641"/>
      <c r="B17" s="2636"/>
      <c r="C17" s="535" t="s">
        <v>2889</v>
      </c>
      <c r="D17" s="535" t="s">
        <v>2882</v>
      </c>
      <c r="E17" s="535">
        <v>2</v>
      </c>
      <c r="F17" s="668">
        <v>6.58</v>
      </c>
      <c r="G17" s="669">
        <v>70</v>
      </c>
      <c r="H17" s="786">
        <f>ROUND(1216*Belarus*(1-C63),2)</f>
        <v>1216</v>
      </c>
      <c r="I17" s="2627">
        <f>ROUND(822*Belarus*(1-C63),2)</f>
        <v>822</v>
      </c>
      <c r="J17" s="2628"/>
      <c r="K17" s="501"/>
    </row>
    <row r="18" spans="1:11" ht="25.5">
      <c r="A18" s="2641"/>
      <c r="B18" s="2636"/>
      <c r="C18" s="540" t="s">
        <v>2881</v>
      </c>
      <c r="D18" s="535" t="s">
        <v>2890</v>
      </c>
      <c r="E18" s="541">
        <v>3</v>
      </c>
      <c r="F18" s="542">
        <v>9.6999999999999993</v>
      </c>
      <c r="G18" s="543">
        <v>70</v>
      </c>
      <c r="H18" s="1063">
        <f>ROUND(1727*Belarus*(1-C63),2)</f>
        <v>1727</v>
      </c>
      <c r="I18" s="2627">
        <f>ROUND(1134*Belarus*(1-C63),2)</f>
        <v>1134</v>
      </c>
      <c r="J18" s="2628"/>
      <c r="K18" s="501"/>
    </row>
    <row r="19" spans="1:11">
      <c r="A19" s="2641"/>
      <c r="B19" s="2636"/>
      <c r="C19" s="540" t="s">
        <v>2883</v>
      </c>
      <c r="D19" s="535" t="s">
        <v>2882</v>
      </c>
      <c r="E19" s="541">
        <v>3</v>
      </c>
      <c r="F19" s="542">
        <v>10.76</v>
      </c>
      <c r="G19" s="543">
        <v>70</v>
      </c>
      <c r="H19" s="1063">
        <f>ROUND(1845*Belarus*(1-C63),2)</f>
        <v>1845</v>
      </c>
      <c r="I19" s="2627">
        <f>ROUND(1304*Belarus*(1-C63),2)</f>
        <v>1304</v>
      </c>
      <c r="J19" s="2628"/>
      <c r="K19" s="501"/>
    </row>
    <row r="20" spans="1:11" ht="12.75" customHeight="1">
      <c r="A20" s="2641"/>
      <c r="B20" s="2636"/>
      <c r="C20" s="540" t="s">
        <v>2891</v>
      </c>
      <c r="D20" s="535" t="s">
        <v>2882</v>
      </c>
      <c r="E20" s="541">
        <v>3</v>
      </c>
      <c r="F20" s="542">
        <v>12.87</v>
      </c>
      <c r="G20" s="543">
        <v>70</v>
      </c>
      <c r="H20" s="1063">
        <f>ROUND(2210*Belarus*(1-C63),2)</f>
        <v>2210</v>
      </c>
      <c r="I20" s="2627">
        <f>ROUND(1450*Belarus*(1-C63),2)</f>
        <v>1450</v>
      </c>
      <c r="J20" s="2628"/>
      <c r="K20" s="501"/>
    </row>
    <row r="21" spans="1:11" ht="38.25">
      <c r="A21" s="2641"/>
      <c r="B21" s="2636"/>
      <c r="C21" s="540" t="s">
        <v>2884</v>
      </c>
      <c r="D21" s="535" t="s">
        <v>2892</v>
      </c>
      <c r="E21" s="541">
        <v>4</v>
      </c>
      <c r="F21" s="542">
        <v>12.81</v>
      </c>
      <c r="G21" s="543">
        <v>70</v>
      </c>
      <c r="H21" s="1063">
        <f>ROUND(2199*Belarus*(1-C63),2)</f>
        <v>2199</v>
      </c>
      <c r="I21" s="2627">
        <f>ROUND(1446*Belarus*(1-C63),2)</f>
        <v>1446</v>
      </c>
      <c r="J21" s="2628"/>
      <c r="K21" s="501"/>
    </row>
    <row r="22" spans="1:11">
      <c r="A22" s="2641"/>
      <c r="B22" s="2636"/>
      <c r="C22" s="540" t="s">
        <v>2893</v>
      </c>
      <c r="D22" s="535" t="s">
        <v>2882</v>
      </c>
      <c r="E22" s="541">
        <v>4</v>
      </c>
      <c r="F22" s="542">
        <v>15.33</v>
      </c>
      <c r="G22" s="543">
        <v>70</v>
      </c>
      <c r="H22" s="1063">
        <f>ROUND(2631*Belarus*(1-C63),2)</f>
        <v>2631</v>
      </c>
      <c r="I22" s="2627">
        <f>ROUND(1619*Belarus*(1-C63),2)</f>
        <v>1619</v>
      </c>
      <c r="J22" s="2628"/>
      <c r="K22" s="501"/>
    </row>
    <row r="23" spans="1:11" ht="12.75" customHeight="1">
      <c r="A23" s="2641"/>
      <c r="B23" s="2637"/>
      <c r="C23" s="540" t="s">
        <v>2887</v>
      </c>
      <c r="D23" s="535" t="s">
        <v>2882</v>
      </c>
      <c r="E23" s="541">
        <v>4</v>
      </c>
      <c r="F23" s="542">
        <v>14.93</v>
      </c>
      <c r="G23" s="543">
        <v>70</v>
      </c>
      <c r="H23" s="1063">
        <f>ROUND(2562*Belarus*(1-C63),2)</f>
        <v>2562</v>
      </c>
      <c r="I23" s="2627">
        <f>ROUND(1683*Belarus*(1-C63),2)</f>
        <v>1683</v>
      </c>
      <c r="J23" s="2628"/>
      <c r="K23" s="501"/>
    </row>
    <row r="24" spans="1:11" ht="12.75" customHeight="1">
      <c r="A24" s="2633"/>
      <c r="B24" s="2635" t="s">
        <v>2894</v>
      </c>
      <c r="C24" s="535" t="s">
        <v>2886</v>
      </c>
      <c r="D24" s="535" t="s">
        <v>1510</v>
      </c>
      <c r="E24" s="535">
        <v>2</v>
      </c>
      <c r="F24" s="542">
        <v>10.46</v>
      </c>
      <c r="G24" s="543">
        <v>60</v>
      </c>
      <c r="H24" s="786">
        <f>ROUND(1678*Belarus*(1-C63),2)</f>
        <v>1678</v>
      </c>
      <c r="I24" s="2627">
        <f>ROUND(928*Belarus*(1-C63),2)</f>
        <v>928</v>
      </c>
      <c r="J24" s="2628"/>
      <c r="K24" s="501"/>
    </row>
    <row r="25" spans="1:11">
      <c r="A25" s="2633"/>
      <c r="B25" s="2636"/>
      <c r="C25" s="540" t="s">
        <v>2881</v>
      </c>
      <c r="D25" s="535" t="s">
        <v>1510</v>
      </c>
      <c r="E25" s="541">
        <v>3</v>
      </c>
      <c r="F25" s="542">
        <v>15.42</v>
      </c>
      <c r="G25" s="543">
        <v>60</v>
      </c>
      <c r="H25" s="1063">
        <f>ROUND(2375*Belarus*(1-C63),2)</f>
        <v>2375</v>
      </c>
      <c r="I25" s="2627">
        <f>ROUND(1287*Belarus*(1-C63),2)</f>
        <v>1287</v>
      </c>
      <c r="J25" s="2628"/>
      <c r="K25" s="501"/>
    </row>
    <row r="26" spans="1:11">
      <c r="A26" s="2633"/>
      <c r="B26" s="2636"/>
      <c r="C26" s="540" t="s">
        <v>2883</v>
      </c>
      <c r="D26" s="535" t="s">
        <v>1510</v>
      </c>
      <c r="E26" s="541">
        <v>3</v>
      </c>
      <c r="F26" s="542">
        <v>17.100000000000001</v>
      </c>
      <c r="G26" s="543">
        <v>60</v>
      </c>
      <c r="H26" s="1063">
        <f>ROUND(2527*Belarus*(1-C63),2)</f>
        <v>2527</v>
      </c>
      <c r="I26" s="2627">
        <f>ROUND(1445*Belarus*(1-C63),2)</f>
        <v>1445</v>
      </c>
      <c r="J26" s="2628"/>
      <c r="K26" s="501"/>
    </row>
    <row r="27" spans="1:11">
      <c r="A27" s="2633"/>
      <c r="B27" s="2636"/>
      <c r="C27" s="540" t="s">
        <v>2884</v>
      </c>
      <c r="D27" s="535" t="s">
        <v>1510</v>
      </c>
      <c r="E27" s="541">
        <v>4</v>
      </c>
      <c r="F27" s="542">
        <v>20.37</v>
      </c>
      <c r="G27" s="543">
        <v>60</v>
      </c>
      <c r="H27" s="1063">
        <f>ROUND(3010*Belarus*(1-C63),2)</f>
        <v>3010</v>
      </c>
      <c r="I27" s="2627">
        <f>ROUND(1638*Belarus*(1-C63),2)</f>
        <v>1638</v>
      </c>
      <c r="J27" s="2628"/>
      <c r="K27" s="501"/>
    </row>
    <row r="28" spans="1:11">
      <c r="A28" s="2633"/>
      <c r="B28" s="2637"/>
      <c r="C28" s="540" t="s">
        <v>2887</v>
      </c>
      <c r="D28" s="535" t="s">
        <v>1510</v>
      </c>
      <c r="E28" s="541">
        <v>4</v>
      </c>
      <c r="F28" s="542">
        <v>23.74</v>
      </c>
      <c r="G28" s="543">
        <v>60</v>
      </c>
      <c r="H28" s="1063">
        <f>ROUND(3507*Belarus*(1-C63),2)</f>
        <v>3507</v>
      </c>
      <c r="I28" s="2627">
        <f>ROUND(1902*Belarus*(1-C63),2)</f>
        <v>1902</v>
      </c>
      <c r="J28" s="2628"/>
      <c r="K28" s="501"/>
    </row>
    <row r="29" spans="1:11">
      <c r="A29" s="2633"/>
      <c r="B29" s="2635" t="s">
        <v>5321</v>
      </c>
      <c r="C29" s="540" t="s">
        <v>2895</v>
      </c>
      <c r="D29" s="535" t="s">
        <v>2882</v>
      </c>
      <c r="E29" s="541">
        <v>2</v>
      </c>
      <c r="F29" s="542">
        <v>7.1</v>
      </c>
      <c r="G29" s="543">
        <v>180</v>
      </c>
      <c r="H29" s="786">
        <f>ROUND(1310*Belarus*(1-C63),2)</f>
        <v>1310</v>
      </c>
      <c r="I29" s="2627">
        <f>ROUND(860*Belarus*(1-C63),2)</f>
        <v>860</v>
      </c>
      <c r="J29" s="2628"/>
      <c r="K29" s="501"/>
    </row>
    <row r="30" spans="1:11" ht="15" customHeight="1">
      <c r="A30" s="2633"/>
      <c r="B30" s="2636"/>
      <c r="C30" s="535" t="s">
        <v>2886</v>
      </c>
      <c r="D30" s="535" t="s">
        <v>2882</v>
      </c>
      <c r="E30" s="535">
        <v>2</v>
      </c>
      <c r="F30" s="668">
        <v>10.46</v>
      </c>
      <c r="G30" s="669">
        <v>60</v>
      </c>
      <c r="H30" s="786">
        <f>ROUND(1795*Belarus*(1-C63),2)</f>
        <v>1795</v>
      </c>
      <c r="I30" s="2627">
        <f>ROUND(1054*Belarus*(1-C63),2)</f>
        <v>1054</v>
      </c>
      <c r="J30" s="2628"/>
      <c r="K30" s="501"/>
    </row>
    <row r="31" spans="1:11" ht="12.75" customHeight="1">
      <c r="A31" s="2633"/>
      <c r="B31" s="2636"/>
      <c r="C31" s="540" t="s">
        <v>2881</v>
      </c>
      <c r="D31" s="535" t="s">
        <v>2882</v>
      </c>
      <c r="E31" s="541">
        <v>3</v>
      </c>
      <c r="F31" s="542">
        <v>15.42</v>
      </c>
      <c r="G31" s="543">
        <v>60</v>
      </c>
      <c r="H31" s="1063">
        <f>ROUND(2547*Belarus*(1-C63),2)</f>
        <v>2547</v>
      </c>
      <c r="I31" s="2627">
        <f>ROUND(1462*Belarus*(1-C63),2)</f>
        <v>1462</v>
      </c>
      <c r="J31" s="2628"/>
      <c r="K31" s="501"/>
    </row>
    <row r="32" spans="1:11">
      <c r="A32" s="2633"/>
      <c r="B32" s="2636"/>
      <c r="C32" s="540" t="s">
        <v>2883</v>
      </c>
      <c r="D32" s="535" t="s">
        <v>2882</v>
      </c>
      <c r="E32" s="541">
        <v>3</v>
      </c>
      <c r="F32" s="542">
        <v>17.100000000000001</v>
      </c>
      <c r="G32" s="543">
        <v>60</v>
      </c>
      <c r="H32" s="1063">
        <f>ROUND(2718*Belarus*(1-C63),2)</f>
        <v>2718</v>
      </c>
      <c r="I32" s="2627">
        <f>ROUND(1654*Belarus*(1-C63),2)</f>
        <v>1654</v>
      </c>
      <c r="J32" s="2628"/>
      <c r="K32" s="501"/>
    </row>
    <row r="33" spans="1:11" ht="25.5">
      <c r="A33" s="2633"/>
      <c r="B33" s="2636"/>
      <c r="C33" s="540" t="s">
        <v>2884</v>
      </c>
      <c r="D33" s="535" t="s">
        <v>2896</v>
      </c>
      <c r="E33" s="541">
        <v>4</v>
      </c>
      <c r="F33" s="542">
        <v>20.37</v>
      </c>
      <c r="G33" s="543">
        <v>60</v>
      </c>
      <c r="H33" s="1063">
        <f>ROUND(3237*Belarus*(1-C63),2)</f>
        <v>3237</v>
      </c>
      <c r="I33" s="2627">
        <f>ROUND(1861*Belarus*(1-C63),2)</f>
        <v>1861</v>
      </c>
      <c r="J33" s="2628"/>
      <c r="K33" s="501"/>
    </row>
    <row r="34" spans="1:11" ht="25.5" customHeight="1">
      <c r="A34" s="2634"/>
      <c r="B34" s="2637"/>
      <c r="C34" s="540" t="s">
        <v>2887</v>
      </c>
      <c r="D34" s="535" t="s">
        <v>2896</v>
      </c>
      <c r="E34" s="541">
        <v>4</v>
      </c>
      <c r="F34" s="542">
        <v>23.74</v>
      </c>
      <c r="G34" s="543">
        <v>60</v>
      </c>
      <c r="H34" s="1063">
        <f>ROUND(3770*Belarus*(1-C63),2)</f>
        <v>3770</v>
      </c>
      <c r="I34" s="2627">
        <f>ROUND(2166*Belarus*(1-C63),2)</f>
        <v>2166</v>
      </c>
      <c r="J34" s="2628"/>
      <c r="K34" s="501"/>
    </row>
    <row r="35" spans="1:11" ht="21" customHeight="1">
      <c r="A35" s="2630"/>
      <c r="B35" s="2629" t="s">
        <v>5322</v>
      </c>
      <c r="C35" s="540" t="s">
        <v>2886</v>
      </c>
      <c r="D35" s="535" t="s">
        <v>1510</v>
      </c>
      <c r="E35" s="541" t="s">
        <v>369</v>
      </c>
      <c r="F35" s="542">
        <v>14.38</v>
      </c>
      <c r="G35" s="543">
        <v>40</v>
      </c>
      <c r="H35" s="1063">
        <f>ROUND(2328*Belarus*(1-C63),2)</f>
        <v>2328</v>
      </c>
      <c r="I35" s="2627">
        <f>ROUND(1188*Belarus*(1-C63),2)</f>
        <v>1188</v>
      </c>
      <c r="J35" s="2628"/>
      <c r="K35" s="501"/>
    </row>
    <row r="36" spans="1:11" ht="21" customHeight="1">
      <c r="A36" s="2631"/>
      <c r="B36" s="2629"/>
      <c r="C36" s="540" t="s">
        <v>2884</v>
      </c>
      <c r="D36" s="535" t="s">
        <v>1510</v>
      </c>
      <c r="E36" s="541" t="s">
        <v>369</v>
      </c>
      <c r="F36" s="542">
        <v>26.27</v>
      </c>
      <c r="G36" s="543">
        <v>40</v>
      </c>
      <c r="H36" s="1063">
        <f>ROUND(3935*Belarus*(1-C63),2)</f>
        <v>3935</v>
      </c>
      <c r="I36" s="2627">
        <f>ROUND(2008*Belarus*(1-C63),2)</f>
        <v>2008</v>
      </c>
      <c r="J36" s="2628"/>
      <c r="K36" s="501"/>
    </row>
    <row r="37" spans="1:11" ht="21" customHeight="1">
      <c r="A37" s="2631"/>
      <c r="B37" s="2629"/>
      <c r="C37" s="540" t="s">
        <v>2887</v>
      </c>
      <c r="D37" s="540" t="s">
        <v>1510</v>
      </c>
      <c r="E37" s="541" t="s">
        <v>369</v>
      </c>
      <c r="F37" s="542">
        <v>31.02</v>
      </c>
      <c r="G37" s="543">
        <v>40</v>
      </c>
      <c r="H37" s="1063">
        <f>ROUND(4681*Belarus*(1-C63),2)</f>
        <v>4681</v>
      </c>
      <c r="I37" s="2627">
        <f>ROUND(2371*Belarus*(1-C63),2)</f>
        <v>2371</v>
      </c>
      <c r="J37" s="2628"/>
      <c r="K37" s="501"/>
    </row>
    <row r="38" spans="1:11" ht="21" customHeight="1">
      <c r="A38" s="2631"/>
      <c r="B38" s="2629" t="s">
        <v>5323</v>
      </c>
      <c r="C38" s="540" t="s">
        <v>2886</v>
      </c>
      <c r="D38" s="535" t="s">
        <v>2882</v>
      </c>
      <c r="E38" s="541" t="s">
        <v>369</v>
      </c>
      <c r="F38" s="542">
        <v>14.38</v>
      </c>
      <c r="G38" s="543">
        <v>40</v>
      </c>
      <c r="H38" s="1063">
        <f>ROUND(2414*Belarus*(1-C63),2)</f>
        <v>2414</v>
      </c>
      <c r="I38" s="2627">
        <f>ROUND(1302*Belarus*(1-C63),2)</f>
        <v>1302</v>
      </c>
      <c r="J38" s="2628"/>
      <c r="K38" s="501"/>
    </row>
    <row r="39" spans="1:11" ht="21" customHeight="1">
      <c r="A39" s="2631"/>
      <c r="B39" s="2629"/>
      <c r="C39" s="540" t="s">
        <v>2884</v>
      </c>
      <c r="D39" s="535" t="s">
        <v>2882</v>
      </c>
      <c r="E39" s="541" t="s">
        <v>369</v>
      </c>
      <c r="F39" s="542">
        <v>26.27</v>
      </c>
      <c r="G39" s="543">
        <v>40</v>
      </c>
      <c r="H39" s="1063">
        <f>ROUND(4100*Belarus*(1-C63),2)</f>
        <v>4100</v>
      </c>
      <c r="I39" s="2627">
        <f>ROUND(2206*Belarus*(1-C63),2)</f>
        <v>2206</v>
      </c>
      <c r="J39" s="2628"/>
      <c r="K39" s="501"/>
    </row>
    <row r="40" spans="1:11" ht="21" customHeight="1">
      <c r="A40" s="2632"/>
      <c r="B40" s="2629"/>
      <c r="C40" s="540" t="s">
        <v>2887</v>
      </c>
      <c r="D40" s="540" t="s">
        <v>2882</v>
      </c>
      <c r="E40" s="541" t="s">
        <v>369</v>
      </c>
      <c r="F40" s="542">
        <v>31.02</v>
      </c>
      <c r="G40" s="543">
        <v>40</v>
      </c>
      <c r="H40" s="1063">
        <f>ROUND(4878*Belarus*(1-C63),2)</f>
        <v>4878</v>
      </c>
      <c r="I40" s="2627">
        <f>ROUND(2609*Belarus*(1-C63),2)</f>
        <v>2609</v>
      </c>
      <c r="J40" s="2628"/>
      <c r="K40" s="501"/>
    </row>
    <row r="41" spans="1:11">
      <c r="A41" s="1629" t="s">
        <v>2897</v>
      </c>
      <c r="B41" s="1629"/>
      <c r="C41" s="1629"/>
      <c r="D41" s="1629"/>
      <c r="E41" s="1629"/>
      <c r="F41" s="1629"/>
      <c r="G41" s="1629"/>
      <c r="H41" s="1629"/>
      <c r="I41" s="1629"/>
      <c r="J41" s="1629"/>
      <c r="K41" s="501"/>
    </row>
    <row r="42" spans="1:11">
      <c r="A42" s="1976" t="s">
        <v>307</v>
      </c>
      <c r="B42" s="1976"/>
      <c r="C42" s="1976" t="s">
        <v>2639</v>
      </c>
      <c r="D42" s="1976"/>
      <c r="E42" s="1976"/>
      <c r="F42" s="1976"/>
      <c r="G42" s="1976"/>
      <c r="H42" s="1976"/>
      <c r="I42" s="2311" t="s">
        <v>624</v>
      </c>
      <c r="J42" s="2312"/>
      <c r="K42" s="501"/>
    </row>
    <row r="43" spans="1:11">
      <c r="A43" s="1981" t="s">
        <v>2898</v>
      </c>
      <c r="B43" s="1981"/>
      <c r="C43" s="1981" t="s">
        <v>2899</v>
      </c>
      <c r="D43" s="1981"/>
      <c r="E43" s="1981"/>
      <c r="F43" s="1981"/>
      <c r="G43" s="1981"/>
      <c r="H43" s="1981"/>
      <c r="I43" s="2627">
        <f>13990*Belarus</f>
        <v>13990</v>
      </c>
      <c r="J43" s="2628"/>
      <c r="K43" s="501"/>
    </row>
    <row r="44" spans="1:11">
      <c r="A44" s="1981" t="s">
        <v>2900</v>
      </c>
      <c r="B44" s="1981"/>
      <c r="C44" s="1981" t="s">
        <v>2901</v>
      </c>
      <c r="D44" s="1981"/>
      <c r="E44" s="1981"/>
      <c r="F44" s="1981"/>
      <c r="G44" s="1981"/>
      <c r="H44" s="1981"/>
      <c r="I44" s="2627">
        <f>14490*Belarus</f>
        <v>14490</v>
      </c>
      <c r="J44" s="2628"/>
      <c r="K44" s="501"/>
    </row>
    <row r="45" spans="1:11">
      <c r="A45" s="1981" t="s">
        <v>2902</v>
      </c>
      <c r="B45" s="1981"/>
      <c r="C45" s="1981" t="s">
        <v>2903</v>
      </c>
      <c r="D45" s="1981"/>
      <c r="E45" s="1981"/>
      <c r="F45" s="1981"/>
      <c r="G45" s="1981"/>
      <c r="H45" s="1981"/>
      <c r="I45" s="2627">
        <f>17790*Belarus</f>
        <v>17790</v>
      </c>
      <c r="J45" s="2628"/>
      <c r="K45" s="46"/>
    </row>
    <row r="46" spans="1:11">
      <c r="A46" s="1981" t="s">
        <v>2904</v>
      </c>
      <c r="B46" s="1981"/>
      <c r="C46" s="1981"/>
      <c r="D46" s="1981"/>
      <c r="E46" s="1981"/>
      <c r="F46" s="1981"/>
      <c r="G46" s="1981"/>
      <c r="H46" s="1981"/>
      <c r="I46" s="2627">
        <f>21990*Belarus</f>
        <v>21990</v>
      </c>
      <c r="J46" s="2628"/>
      <c r="K46" s="46"/>
    </row>
    <row r="47" spans="1:11">
      <c r="A47" s="2116" t="s">
        <v>1219</v>
      </c>
      <c r="B47" s="2116"/>
      <c r="C47" s="2116"/>
      <c r="D47" s="2116"/>
      <c r="E47" s="2116"/>
      <c r="F47" s="2116"/>
      <c r="G47" s="2116"/>
      <c r="H47" s="2116"/>
      <c r="I47" s="2116"/>
      <c r="J47" s="2116"/>
      <c r="K47" s="46"/>
    </row>
    <row r="48" spans="1:11" ht="15.75" customHeight="1">
      <c r="A48" s="2625" t="s">
        <v>2905</v>
      </c>
      <c r="B48" s="2625"/>
      <c r="C48" s="2625"/>
      <c r="D48" s="2625"/>
      <c r="E48" s="2625"/>
      <c r="F48" s="2625"/>
      <c r="G48" s="2625"/>
      <c r="H48" s="2625"/>
      <c r="I48" s="2625"/>
      <c r="J48" s="2625"/>
      <c r="K48" s="46"/>
    </row>
    <row r="49" spans="1:11" ht="15.75" customHeight="1">
      <c r="A49" s="2626" t="s">
        <v>2906</v>
      </c>
      <c r="B49" s="2626"/>
      <c r="C49" s="2626"/>
      <c r="D49" s="2626"/>
      <c r="E49" s="2626"/>
      <c r="F49" s="2626"/>
      <c r="G49" s="2626"/>
      <c r="H49" s="2626"/>
      <c r="I49" s="2626"/>
      <c r="J49" s="2626"/>
      <c r="K49" s="46"/>
    </row>
    <row r="50" spans="1:11">
      <c r="A50" s="2625" t="s">
        <v>2907</v>
      </c>
      <c r="B50" s="2625"/>
      <c r="C50" s="2625"/>
      <c r="D50" s="2625"/>
      <c r="E50" s="2625"/>
      <c r="F50" s="2625"/>
      <c r="G50" s="2625"/>
      <c r="H50" s="2625"/>
      <c r="I50" s="2625"/>
      <c r="J50" s="2625"/>
      <c r="K50" s="46"/>
    </row>
    <row r="51" spans="1:11">
      <c r="A51" s="2625" t="s">
        <v>2908</v>
      </c>
      <c r="B51" s="2625"/>
      <c r="C51" s="2625"/>
      <c r="D51" s="2625"/>
      <c r="E51" s="2625"/>
      <c r="F51" s="2625"/>
      <c r="G51" s="2625"/>
      <c r="H51" s="2625"/>
      <c r="I51" s="2625"/>
      <c r="J51" s="2625"/>
      <c r="K51" s="46"/>
    </row>
    <row r="52" spans="1:11">
      <c r="A52" s="1294" t="s">
        <v>2909</v>
      </c>
      <c r="B52" s="1294"/>
      <c r="C52" s="1294"/>
      <c r="D52" s="1294"/>
      <c r="E52" s="1294"/>
      <c r="F52" s="1294"/>
      <c r="G52" s="1294"/>
      <c r="H52" s="1294"/>
      <c r="I52" s="1294"/>
      <c r="J52" s="1294"/>
      <c r="K52" s="46"/>
    </row>
    <row r="53" spans="1:11">
      <c r="A53" s="1576" t="s">
        <v>2910</v>
      </c>
      <c r="B53" s="1576"/>
      <c r="C53" s="1576"/>
      <c r="D53" s="1576"/>
      <c r="E53" s="1576"/>
      <c r="F53" s="1576"/>
      <c r="G53" s="1576"/>
      <c r="H53" s="1576"/>
      <c r="I53" s="1576"/>
      <c r="J53" s="1576"/>
      <c r="K53" s="46"/>
    </row>
    <row r="54" spans="1:11">
      <c r="A54" s="1294" t="s">
        <v>2911</v>
      </c>
      <c r="B54" s="1294"/>
      <c r="C54" s="1294"/>
      <c r="D54" s="1294"/>
      <c r="E54" s="1294"/>
      <c r="F54" s="1294"/>
      <c r="G54" s="1294"/>
      <c r="H54" s="1294"/>
      <c r="I54" s="1294"/>
      <c r="J54" s="1294"/>
      <c r="K54" s="46"/>
    </row>
    <row r="55" spans="1:11">
      <c r="A55" s="1294" t="s">
        <v>2912</v>
      </c>
      <c r="B55" s="1294"/>
      <c r="C55" s="1294"/>
      <c r="D55" s="1294"/>
      <c r="E55" s="1294"/>
      <c r="F55" s="1294"/>
      <c r="G55" s="1294"/>
      <c r="H55" s="1294"/>
      <c r="I55" s="1294"/>
      <c r="J55" s="1294"/>
      <c r="K55" s="46"/>
    </row>
    <row r="56" spans="1:11">
      <c r="A56" s="2620" t="s">
        <v>2913</v>
      </c>
      <c r="B56" s="2621"/>
      <c r="C56" s="2621"/>
      <c r="D56" s="2621"/>
      <c r="E56" s="2621"/>
      <c r="F56" s="2621"/>
      <c r="G56" s="2621"/>
      <c r="H56" s="2621"/>
      <c r="I56" s="2621"/>
      <c r="J56" s="2622"/>
      <c r="K56" s="46"/>
    </row>
    <row r="57" spans="1:11">
      <c r="A57" s="2623" t="s">
        <v>2914</v>
      </c>
      <c r="B57" s="2623"/>
      <c r="C57" s="2623"/>
      <c r="D57" s="2623"/>
      <c r="E57" s="2623"/>
      <c r="F57" s="2623"/>
      <c r="G57" s="2623"/>
      <c r="H57" s="2623"/>
      <c r="I57" s="2623"/>
      <c r="J57" s="2623"/>
      <c r="K57" s="46"/>
    </row>
    <row r="58" spans="1:11">
      <c r="A58" s="2623" t="s">
        <v>2915</v>
      </c>
      <c r="B58" s="2623"/>
      <c r="C58" s="2623"/>
      <c r="D58" s="2623"/>
      <c r="E58" s="2623"/>
      <c r="F58" s="2623"/>
      <c r="G58" s="2623"/>
      <c r="H58" s="2623"/>
      <c r="I58" s="2623"/>
      <c r="J58" s="2623"/>
      <c r="K58" s="46"/>
    </row>
    <row r="59" spans="1:11" ht="15" customHeight="1">
      <c r="A59" s="2624" t="s">
        <v>2916</v>
      </c>
      <c r="B59" s="2624"/>
      <c r="C59" s="2624"/>
      <c r="D59" s="2624"/>
      <c r="E59" s="2624"/>
      <c r="F59" s="2624"/>
      <c r="G59" s="2624"/>
      <c r="H59" s="2624"/>
      <c r="I59" s="2624"/>
      <c r="J59" s="2624"/>
      <c r="K59" s="46"/>
    </row>
    <row r="60" spans="1:11" ht="30" customHeight="1">
      <c r="A60" s="2615" t="s">
        <v>6339</v>
      </c>
      <c r="B60" s="2616"/>
      <c r="C60" s="2616"/>
      <c r="D60" s="2616"/>
      <c r="E60" s="2616"/>
      <c r="F60" s="2616"/>
      <c r="G60" s="2616"/>
      <c r="H60" s="2616"/>
      <c r="I60" s="2616"/>
      <c r="J60" s="2617"/>
      <c r="K60" s="46"/>
    </row>
    <row r="61" spans="1:11">
      <c r="A61" s="46"/>
      <c r="B61" s="46"/>
      <c r="C61" s="46"/>
      <c r="D61" s="46"/>
      <c r="E61" s="46"/>
      <c r="F61" s="46"/>
      <c r="G61" s="46"/>
      <c r="H61" s="46"/>
      <c r="I61" s="46"/>
      <c r="J61" s="46"/>
      <c r="K61" s="46"/>
    </row>
    <row r="62" spans="1:11">
      <c r="A62" s="46"/>
      <c r="B62" s="46"/>
      <c r="C62" s="46"/>
      <c r="D62" s="46"/>
      <c r="E62" s="46"/>
      <c r="F62" s="46"/>
      <c r="G62" s="46"/>
      <c r="H62" s="46"/>
      <c r="I62" s="46"/>
      <c r="J62" s="46"/>
      <c r="K62" s="46"/>
    </row>
    <row r="63" spans="1:11">
      <c r="A63" s="2519" t="s">
        <v>1835</v>
      </c>
      <c r="B63" s="2519"/>
      <c r="C63" s="2618">
        <v>0</v>
      </c>
      <c r="D63" s="545"/>
      <c r="E63" s="46"/>
      <c r="F63" s="46"/>
      <c r="G63" s="46"/>
      <c r="H63" s="46"/>
      <c r="I63" s="46"/>
      <c r="J63" s="46"/>
      <c r="K63" s="46"/>
    </row>
    <row r="64" spans="1:11">
      <c r="A64" s="2519"/>
      <c r="B64" s="2519"/>
      <c r="C64" s="2619"/>
      <c r="D64" s="96"/>
      <c r="E64" s="46"/>
      <c r="F64" s="46"/>
      <c r="G64" s="46"/>
      <c r="H64" s="46"/>
      <c r="I64" s="46"/>
      <c r="J64" s="46"/>
      <c r="K64" s="46"/>
    </row>
  </sheetData>
  <sheetProtection formatCells="0" formatColumns="0" formatRows="0" insertColumns="0" insertRows="0" insertHyperlinks="0" deleteColumns="0" deleteRows="0" sort="0" autoFilter="0" pivotTables="0"/>
  <mergeCells count="89">
    <mergeCell ref="A1:D1"/>
    <mergeCell ref="A2:F2"/>
    <mergeCell ref="A4:A5"/>
    <mergeCell ref="B4:B5"/>
    <mergeCell ref="C4:C5"/>
    <mergeCell ref="D4:D5"/>
    <mergeCell ref="E4:E5"/>
    <mergeCell ref="F4:F5"/>
    <mergeCell ref="G4:G5"/>
    <mergeCell ref="H4:H5"/>
    <mergeCell ref="I4:J4"/>
    <mergeCell ref="I5:J5"/>
    <mergeCell ref="A6:J6"/>
    <mergeCell ref="A7:A9"/>
    <mergeCell ref="B7:B9"/>
    <mergeCell ref="I7:J7"/>
    <mergeCell ref="I8:J8"/>
    <mergeCell ref="I9:J9"/>
    <mergeCell ref="A10:J10"/>
    <mergeCell ref="A11:A23"/>
    <mergeCell ref="B11:B15"/>
    <mergeCell ref="I11:J11"/>
    <mergeCell ref="I12:J12"/>
    <mergeCell ref="I13:J13"/>
    <mergeCell ref="I14:J14"/>
    <mergeCell ref="I15:J15"/>
    <mergeCell ref="B16:B23"/>
    <mergeCell ref="I16:J16"/>
    <mergeCell ref="I17:J17"/>
    <mergeCell ref="I18:J18"/>
    <mergeCell ref="I19:J19"/>
    <mergeCell ref="I20:J20"/>
    <mergeCell ref="I21:J21"/>
    <mergeCell ref="I22:J22"/>
    <mergeCell ref="I23:J23"/>
    <mergeCell ref="A24:A34"/>
    <mergeCell ref="B24:B28"/>
    <mergeCell ref="I24:J24"/>
    <mergeCell ref="I25:J25"/>
    <mergeCell ref="I26:J26"/>
    <mergeCell ref="I27:J27"/>
    <mergeCell ref="I28:J28"/>
    <mergeCell ref="B29:B34"/>
    <mergeCell ref="I29:J29"/>
    <mergeCell ref="I30:J30"/>
    <mergeCell ref="I31:J31"/>
    <mergeCell ref="I32:J32"/>
    <mergeCell ref="I33:J33"/>
    <mergeCell ref="I34:J34"/>
    <mergeCell ref="A35:A40"/>
    <mergeCell ref="B35:B37"/>
    <mergeCell ref="I35:J35"/>
    <mergeCell ref="I36:J36"/>
    <mergeCell ref="I37:J37"/>
    <mergeCell ref="B38:B40"/>
    <mergeCell ref="I38:J38"/>
    <mergeCell ref="I39:J39"/>
    <mergeCell ref="I40:J40"/>
    <mergeCell ref="A41:J41"/>
    <mergeCell ref="A42:B42"/>
    <mergeCell ref="C42:H42"/>
    <mergeCell ref="I42:J42"/>
    <mergeCell ref="A43:B43"/>
    <mergeCell ref="C43:H43"/>
    <mergeCell ref="I43:J43"/>
    <mergeCell ref="A44:B44"/>
    <mergeCell ref="C44:H44"/>
    <mergeCell ref="I44:J44"/>
    <mergeCell ref="A45:B45"/>
    <mergeCell ref="C45:H46"/>
    <mergeCell ref="I45:J45"/>
    <mergeCell ref="A46:B46"/>
    <mergeCell ref="I46:J46"/>
    <mergeCell ref="A47:J47"/>
    <mergeCell ref="A48:J48"/>
    <mergeCell ref="A49:J49"/>
    <mergeCell ref="A50:J50"/>
    <mergeCell ref="A51:J51"/>
    <mergeCell ref="A52:J52"/>
    <mergeCell ref="A53:J53"/>
    <mergeCell ref="A60:J60"/>
    <mergeCell ref="A63:B64"/>
    <mergeCell ref="C63:C64"/>
    <mergeCell ref="A54:J54"/>
    <mergeCell ref="A55:J55"/>
    <mergeCell ref="A56:J56"/>
    <mergeCell ref="A57:J57"/>
    <mergeCell ref="A58:J58"/>
    <mergeCell ref="A59:J59"/>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53" orientation="landscape" horizontalDpi="300" verticalDpi="300" r:id="rId1"/>
  <headerFooter scaleWithDoc="0">
    <oddHeader xml:space="preserve">&amp;L&amp;G&amp;R&amp;5Центр поддержки клиентов Grand Line: +7 (495) 748-38-38
cайт: www.grandline.ru   </oddHeader>
    <oddFooter>&amp;R&amp;5Страница 40</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pageSetUpPr fitToPage="1"/>
  </sheetPr>
  <dimension ref="A1:S50"/>
  <sheetViews>
    <sheetView zoomScale="70" zoomScaleNormal="70" zoomScaleSheetLayoutView="75" workbookViewId="0">
      <selection activeCell="A2" sqref="A2:O2"/>
    </sheetView>
  </sheetViews>
  <sheetFormatPr defaultRowHeight="15"/>
  <cols>
    <col min="1" max="1" width="24" style="1125" customWidth="1"/>
    <col min="2" max="2" width="30.28515625" style="1125" customWidth="1"/>
    <col min="3" max="3" width="23.42578125" style="1125" customWidth="1"/>
    <col min="4" max="4" width="11.42578125" style="1125" customWidth="1"/>
    <col min="5" max="5" width="26" style="1125" customWidth="1"/>
    <col min="6" max="6" width="12" style="1125" customWidth="1"/>
    <col min="7" max="7" width="8.28515625" style="1125" customWidth="1"/>
    <col min="8" max="9" width="11.140625" style="1125" customWidth="1"/>
    <col min="10" max="10" width="2.7109375" style="1125" customWidth="1"/>
    <col min="11" max="11" width="25.28515625" style="1125" customWidth="1"/>
    <col min="12" max="13" width="20.5703125" style="1125" customWidth="1"/>
    <col min="14" max="14" width="15.42578125" style="1125" customWidth="1"/>
    <col min="15" max="15" width="23.5703125" style="1125" customWidth="1"/>
    <col min="16" max="16" width="11.7109375" style="1125" customWidth="1"/>
    <col min="17" max="17" width="8.85546875" style="1125" customWidth="1"/>
    <col min="18" max="18" width="16.42578125" style="1125" customWidth="1"/>
    <col min="19" max="19" width="13.140625" style="1125" customWidth="1"/>
    <col min="20" max="16384" width="9.140625" style="1125"/>
  </cols>
  <sheetData>
    <row r="1" spans="1:19">
      <c r="A1" s="1666" t="s">
        <v>312</v>
      </c>
      <c r="B1" s="1666"/>
      <c r="C1" s="1666"/>
      <c r="D1" s="1666"/>
      <c r="E1" s="46"/>
      <c r="F1" s="46"/>
      <c r="G1" s="46"/>
      <c r="H1" s="46"/>
      <c r="I1" s="46"/>
      <c r="J1" s="46"/>
      <c r="K1" s="46"/>
      <c r="L1" s="46"/>
      <c r="M1" s="46"/>
      <c r="N1" s="46"/>
      <c r="O1" s="46"/>
      <c r="P1" s="46"/>
      <c r="Q1" s="46"/>
      <c r="R1" s="46"/>
      <c r="S1" s="46"/>
    </row>
    <row r="2" spans="1:19" ht="24.75" customHeight="1" thickBot="1">
      <c r="A2" s="1273" t="s">
        <v>5324</v>
      </c>
      <c r="B2" s="1273"/>
      <c r="C2" s="1273"/>
      <c r="D2" s="1273"/>
      <c r="E2" s="1273"/>
      <c r="F2" s="1273"/>
      <c r="G2" s="1273"/>
      <c r="H2" s="1273"/>
      <c r="I2" s="1273"/>
      <c r="J2" s="1273"/>
      <c r="K2" s="1273"/>
      <c r="L2" s="1273"/>
      <c r="M2" s="1273"/>
      <c r="N2" s="1273"/>
      <c r="O2" s="1273"/>
      <c r="P2" s="746"/>
      <c r="Q2" s="746"/>
      <c r="R2" s="734" t="s">
        <v>313</v>
      </c>
      <c r="S2" s="744">
        <v>43276</v>
      </c>
    </row>
    <row r="3" spans="1:19">
      <c r="A3" s="1"/>
      <c r="B3" s="1"/>
      <c r="C3" s="320"/>
      <c r="D3" s="320"/>
      <c r="E3" s="320"/>
      <c r="F3" s="320"/>
      <c r="G3" s="546"/>
      <c r="H3" s="546"/>
      <c r="I3" s="1"/>
      <c r="J3" s="1"/>
      <c r="K3" s="1"/>
      <c r="L3" s="1"/>
      <c r="M3" s="1"/>
      <c r="N3" s="1"/>
      <c r="O3" s="1"/>
      <c r="P3" s="1"/>
      <c r="Q3" s="546"/>
      <c r="R3" s="547" t="s">
        <v>804</v>
      </c>
      <c r="S3" s="152">
        <v>43276</v>
      </c>
    </row>
    <row r="4" spans="1:19" ht="51" customHeight="1">
      <c r="A4" s="548" t="s">
        <v>1452</v>
      </c>
      <c r="B4" s="2646" t="s">
        <v>307</v>
      </c>
      <c r="C4" s="2646"/>
      <c r="D4" s="548" t="s">
        <v>2917</v>
      </c>
      <c r="E4" s="548" t="s">
        <v>2918</v>
      </c>
      <c r="F4" s="548" t="s">
        <v>2919</v>
      </c>
      <c r="G4" s="548" t="s">
        <v>2920</v>
      </c>
      <c r="H4" s="549" t="s">
        <v>2794</v>
      </c>
      <c r="I4" s="550" t="s">
        <v>2921</v>
      </c>
      <c r="J4" s="1"/>
      <c r="K4" s="548" t="s">
        <v>1452</v>
      </c>
      <c r="L4" s="551" t="s">
        <v>307</v>
      </c>
      <c r="M4" s="552"/>
      <c r="N4" s="548" t="s">
        <v>2917</v>
      </c>
      <c r="O4" s="548" t="s">
        <v>2918</v>
      </c>
      <c r="P4" s="548" t="s">
        <v>2919</v>
      </c>
      <c r="Q4" s="548" t="s">
        <v>2920</v>
      </c>
      <c r="R4" s="549" t="s">
        <v>2794</v>
      </c>
      <c r="S4" s="550" t="s">
        <v>2921</v>
      </c>
    </row>
    <row r="5" spans="1:19">
      <c r="A5" s="2646" t="s">
        <v>5325</v>
      </c>
      <c r="B5" s="2646"/>
      <c r="C5" s="2646"/>
      <c r="D5" s="2646"/>
      <c r="E5" s="2646"/>
      <c r="F5" s="2646"/>
      <c r="G5" s="2646"/>
      <c r="H5" s="2646"/>
      <c r="I5" s="2646"/>
      <c r="J5" s="1"/>
      <c r="K5" s="2647" t="s">
        <v>5326</v>
      </c>
      <c r="L5" s="2648"/>
      <c r="M5" s="2648"/>
      <c r="N5" s="2648"/>
      <c r="O5" s="2648"/>
      <c r="P5" s="2648"/>
      <c r="Q5" s="2648"/>
      <c r="R5" s="2648"/>
      <c r="S5" s="2649"/>
    </row>
    <row r="6" spans="1:19" s="1019" customFormat="1" ht="41.25" customHeight="1">
      <c r="A6" s="2650"/>
      <c r="B6" s="1018" t="s">
        <v>5327</v>
      </c>
      <c r="C6" s="1018" t="s">
        <v>2936</v>
      </c>
      <c r="D6" s="554">
        <v>2.5</v>
      </c>
      <c r="E6" s="665" t="s">
        <v>2882</v>
      </c>
      <c r="F6" s="665" t="s">
        <v>369</v>
      </c>
      <c r="G6" s="557">
        <v>4.1500000000000004</v>
      </c>
      <c r="H6" s="555">
        <v>140</v>
      </c>
      <c r="I6" s="1064">
        <f>ROUND(691*Belarus*(1-C49),2)</f>
        <v>691</v>
      </c>
      <c r="J6" s="653"/>
      <c r="K6" s="562"/>
      <c r="L6" s="2641" t="s">
        <v>2924</v>
      </c>
      <c r="M6" s="2641"/>
      <c r="N6" s="560">
        <v>0.55000000000000004</v>
      </c>
      <c r="O6" s="560" t="s">
        <v>2882</v>
      </c>
      <c r="P6" s="560" t="s">
        <v>369</v>
      </c>
      <c r="Q6" s="554">
        <v>0.9</v>
      </c>
      <c r="R6" s="555">
        <v>16</v>
      </c>
      <c r="S6" s="1063">
        <f>ROUND(719*Belarus*(1-C49),2)</f>
        <v>719</v>
      </c>
    </row>
    <row r="7" spans="1:19" s="1019" customFormat="1">
      <c r="A7" s="2650"/>
      <c r="B7" s="2641" t="s">
        <v>5328</v>
      </c>
      <c r="C7" s="2651" t="s">
        <v>2929</v>
      </c>
      <c r="D7" s="665">
        <v>2.5</v>
      </c>
      <c r="E7" s="665" t="s">
        <v>2882</v>
      </c>
      <c r="F7" s="1126" t="s">
        <v>369</v>
      </c>
      <c r="G7" s="670">
        <v>4.45</v>
      </c>
      <c r="H7" s="2652">
        <v>96</v>
      </c>
      <c r="I7" s="1063">
        <f>ROUND(810*Belarus*(1-C49),2)</f>
        <v>810</v>
      </c>
      <c r="J7" s="653"/>
      <c r="K7" s="2654"/>
      <c r="L7" s="2641" t="s">
        <v>2926</v>
      </c>
      <c r="M7" s="2641"/>
      <c r="N7" s="2655">
        <v>0.55000000000000004</v>
      </c>
      <c r="O7" s="2655" t="s">
        <v>2927</v>
      </c>
      <c r="P7" s="2655" t="s">
        <v>369</v>
      </c>
      <c r="Q7" s="2656">
        <v>0.9</v>
      </c>
      <c r="R7" s="2657">
        <v>16</v>
      </c>
      <c r="S7" s="2658">
        <f>ROUND(895*Belarus*(1-C49),2)</f>
        <v>895</v>
      </c>
    </row>
    <row r="8" spans="1:19" s="1019" customFormat="1">
      <c r="A8" s="2650"/>
      <c r="B8" s="2641"/>
      <c r="C8" s="2634"/>
      <c r="D8" s="665">
        <v>3</v>
      </c>
      <c r="E8" s="665" t="s">
        <v>2882</v>
      </c>
      <c r="F8" s="1126" t="s">
        <v>369</v>
      </c>
      <c r="G8" s="670">
        <v>5.34</v>
      </c>
      <c r="H8" s="2653"/>
      <c r="I8" s="1063">
        <f>ROUND(971*Belarus*(1-C49),2)</f>
        <v>971</v>
      </c>
      <c r="J8" s="653"/>
      <c r="K8" s="2654"/>
      <c r="L8" s="2641"/>
      <c r="M8" s="2641"/>
      <c r="N8" s="2655"/>
      <c r="O8" s="2655"/>
      <c r="P8" s="2655"/>
      <c r="Q8" s="2656"/>
      <c r="R8" s="2657"/>
      <c r="S8" s="2658"/>
    </row>
    <row r="9" spans="1:19" s="1019" customFormat="1">
      <c r="A9" s="2650"/>
      <c r="B9" s="2641"/>
      <c r="C9" s="2651" t="s">
        <v>6562</v>
      </c>
      <c r="D9" s="665">
        <v>2.5</v>
      </c>
      <c r="E9" s="665" t="s">
        <v>2882</v>
      </c>
      <c r="F9" s="670">
        <v>5</v>
      </c>
      <c r="G9" s="670">
        <v>5.21</v>
      </c>
      <c r="H9" s="2653"/>
      <c r="I9" s="1063">
        <f>ROUND(992*Belarus*(1-C49),2)</f>
        <v>992</v>
      </c>
      <c r="J9" s="653"/>
      <c r="K9" s="2654"/>
      <c r="L9" s="2641"/>
      <c r="M9" s="2641"/>
      <c r="N9" s="2655"/>
      <c r="O9" s="2655"/>
      <c r="P9" s="2655"/>
      <c r="Q9" s="2656"/>
      <c r="R9" s="2657"/>
      <c r="S9" s="2658"/>
    </row>
    <row r="10" spans="1:19" s="1019" customFormat="1">
      <c r="A10" s="2650"/>
      <c r="B10" s="2641"/>
      <c r="C10" s="2634"/>
      <c r="D10" s="665">
        <v>3</v>
      </c>
      <c r="E10" s="665" t="s">
        <v>2882</v>
      </c>
      <c r="F10" s="670">
        <v>5</v>
      </c>
      <c r="G10" s="670">
        <v>6.24</v>
      </c>
      <c r="H10" s="2653"/>
      <c r="I10" s="1063">
        <f>ROUND(1190*Belarus*(1-C49),2)</f>
        <v>1190</v>
      </c>
      <c r="J10" s="653"/>
      <c r="K10" s="2659"/>
      <c r="L10" s="2641" t="s">
        <v>2930</v>
      </c>
      <c r="M10" s="2641"/>
      <c r="N10" s="2655">
        <v>0.55000000000000004</v>
      </c>
      <c r="O10" s="2655" t="s">
        <v>2927</v>
      </c>
      <c r="P10" s="2655" t="s">
        <v>369</v>
      </c>
      <c r="Q10" s="2656">
        <v>1.1100000000000001</v>
      </c>
      <c r="R10" s="2657">
        <v>20</v>
      </c>
      <c r="S10" s="2658">
        <f>ROUND(420*Belarus*(1-C49),2)</f>
        <v>420</v>
      </c>
    </row>
    <row r="11" spans="1:19" s="1019" customFormat="1" ht="51">
      <c r="A11" s="553"/>
      <c r="B11" s="2660" t="s">
        <v>5329</v>
      </c>
      <c r="C11" s="2661"/>
      <c r="D11" s="560" t="s">
        <v>369</v>
      </c>
      <c r="E11" s="560" t="s">
        <v>2959</v>
      </c>
      <c r="F11" s="560" t="s">
        <v>369</v>
      </c>
      <c r="G11" s="665" t="s">
        <v>369</v>
      </c>
      <c r="H11" s="555">
        <v>300</v>
      </c>
      <c r="I11" s="1063">
        <f>ROUND(36*Belarus*(1-C49),2)</f>
        <v>36</v>
      </c>
      <c r="J11" s="653"/>
      <c r="K11" s="2659"/>
      <c r="L11" s="2641"/>
      <c r="M11" s="2641"/>
      <c r="N11" s="2655"/>
      <c r="O11" s="2655"/>
      <c r="P11" s="2655"/>
      <c r="Q11" s="2656"/>
      <c r="R11" s="2657"/>
      <c r="S11" s="2658"/>
    </row>
    <row r="12" spans="1:19" s="1019" customFormat="1" ht="42" customHeight="1">
      <c r="A12" s="1018"/>
      <c r="B12" s="2662" t="s">
        <v>5330</v>
      </c>
      <c r="C12" s="2663"/>
      <c r="D12" s="560" t="s">
        <v>369</v>
      </c>
      <c r="E12" s="560" t="s">
        <v>5331</v>
      </c>
      <c r="F12" s="670" t="s">
        <v>369</v>
      </c>
      <c r="G12" s="665">
        <v>0.05</v>
      </c>
      <c r="H12" s="555">
        <v>100</v>
      </c>
      <c r="I12" s="1063">
        <f>ROUND(44*Belarus*(1-C49),2)</f>
        <v>44</v>
      </c>
      <c r="J12" s="653"/>
      <c r="K12" s="562"/>
      <c r="L12" s="2641" t="s">
        <v>5332</v>
      </c>
      <c r="M12" s="2641"/>
      <c r="N12" s="560">
        <v>0.5</v>
      </c>
      <c r="O12" s="560" t="s">
        <v>2882</v>
      </c>
      <c r="P12" s="560" t="s">
        <v>369</v>
      </c>
      <c r="Q12" s="554">
        <v>1.08</v>
      </c>
      <c r="R12" s="555" t="s">
        <v>2931</v>
      </c>
      <c r="S12" s="1063">
        <f>ROUND(344*Belarus*(1-C49),2)</f>
        <v>344</v>
      </c>
    </row>
    <row r="13" spans="1:19" s="1019" customFormat="1" ht="45.75" customHeight="1">
      <c r="A13" s="560"/>
      <c r="B13" s="2641" t="s">
        <v>2977</v>
      </c>
      <c r="C13" s="2641"/>
      <c r="D13" s="561" t="s">
        <v>2978</v>
      </c>
      <c r="E13" s="561" t="s">
        <v>2979</v>
      </c>
      <c r="F13" s="561" t="s">
        <v>369</v>
      </c>
      <c r="G13" s="557">
        <v>0.1</v>
      </c>
      <c r="H13" s="555">
        <v>200</v>
      </c>
      <c r="I13" s="1064">
        <f>ROUND(53*Belarus*(1-C49),2)</f>
        <v>53</v>
      </c>
      <c r="J13" s="653"/>
      <c r="K13" s="562"/>
      <c r="L13" s="2641" t="s">
        <v>5333</v>
      </c>
      <c r="M13" s="2641"/>
      <c r="N13" s="560">
        <v>0.5</v>
      </c>
      <c r="O13" s="560" t="s">
        <v>2882</v>
      </c>
      <c r="P13" s="560" t="s">
        <v>369</v>
      </c>
      <c r="Q13" s="554">
        <v>1.9</v>
      </c>
      <c r="R13" s="555" t="s">
        <v>2931</v>
      </c>
      <c r="S13" s="1063">
        <f>ROUND(687*Belarus*(1-C49),2)</f>
        <v>687</v>
      </c>
    </row>
    <row r="14" spans="1:19" s="1019" customFormat="1" ht="37.5" customHeight="1">
      <c r="A14" s="1020"/>
      <c r="B14" s="2641" t="s">
        <v>5334</v>
      </c>
      <c r="C14" s="2641"/>
      <c r="D14" s="561" t="s">
        <v>5335</v>
      </c>
      <c r="E14" s="561" t="s">
        <v>2882</v>
      </c>
      <c r="F14" s="561" t="s">
        <v>369</v>
      </c>
      <c r="G14" s="557">
        <v>0.1</v>
      </c>
      <c r="H14" s="555">
        <v>200</v>
      </c>
      <c r="I14" s="1064">
        <f>ROUND(53*Belarus*(1-C49),2)</f>
        <v>53</v>
      </c>
      <c r="J14" s="653"/>
      <c r="K14" s="2659"/>
      <c r="L14" s="2641" t="s">
        <v>5336</v>
      </c>
      <c r="M14" s="2641"/>
      <c r="N14" s="2655" t="s">
        <v>2933</v>
      </c>
      <c r="O14" s="2655" t="s">
        <v>1510</v>
      </c>
      <c r="P14" s="2655" t="s">
        <v>369</v>
      </c>
      <c r="Q14" s="2657">
        <v>4</v>
      </c>
      <c r="R14" s="2657" t="s">
        <v>2931</v>
      </c>
      <c r="S14" s="2664">
        <f>ROUND(3028*Belarus*(1-C49),2)</f>
        <v>3028</v>
      </c>
    </row>
    <row r="15" spans="1:19" s="1019" customFormat="1">
      <c r="A15" s="2646" t="s">
        <v>5326</v>
      </c>
      <c r="B15" s="2646"/>
      <c r="C15" s="2646"/>
      <c r="D15" s="2646"/>
      <c r="E15" s="2646"/>
      <c r="F15" s="2646"/>
      <c r="G15" s="2646"/>
      <c r="H15" s="2646"/>
      <c r="I15" s="2646"/>
      <c r="J15" s="653"/>
      <c r="K15" s="2659"/>
      <c r="L15" s="2641"/>
      <c r="M15" s="2641"/>
      <c r="N15" s="2655"/>
      <c r="O15" s="2655"/>
      <c r="P15" s="2655"/>
      <c r="Q15" s="2657"/>
      <c r="R15" s="2657"/>
      <c r="S15" s="2664"/>
    </row>
    <row r="16" spans="1:19" s="556" customFormat="1" ht="18.75" customHeight="1">
      <c r="A16" s="2641"/>
      <c r="B16" s="2651" t="s">
        <v>2922</v>
      </c>
      <c r="C16" s="2651" t="s">
        <v>2923</v>
      </c>
      <c r="D16" s="665">
        <v>2.5</v>
      </c>
      <c r="E16" s="665" t="s">
        <v>1510</v>
      </c>
      <c r="F16" s="560">
        <v>5</v>
      </c>
      <c r="G16" s="665">
        <v>6.78</v>
      </c>
      <c r="H16" s="2652">
        <v>96</v>
      </c>
      <c r="I16" s="1063">
        <f>ROUND(857*Belarus*(1-C49),2)</f>
        <v>857</v>
      </c>
      <c r="J16" s="546"/>
      <c r="K16" s="2659"/>
      <c r="L16" s="2641" t="s">
        <v>2935</v>
      </c>
      <c r="M16" s="2641"/>
      <c r="N16" s="2655" t="s">
        <v>369</v>
      </c>
      <c r="O16" s="2655" t="s">
        <v>1510</v>
      </c>
      <c r="P16" s="2655" t="s">
        <v>369</v>
      </c>
      <c r="Q16" s="2657">
        <v>2E-3</v>
      </c>
      <c r="R16" s="2657">
        <v>2000</v>
      </c>
      <c r="S16" s="2664">
        <f>ROUND(14*Belarus*(1-C49),2)</f>
        <v>14</v>
      </c>
    </row>
    <row r="17" spans="1:19" s="556" customFormat="1" ht="18.75" customHeight="1">
      <c r="A17" s="2641"/>
      <c r="B17" s="2633"/>
      <c r="C17" s="2633"/>
      <c r="D17" s="558">
        <v>3</v>
      </c>
      <c r="E17" s="558" t="s">
        <v>1510</v>
      </c>
      <c r="F17" s="671" t="s">
        <v>2925</v>
      </c>
      <c r="G17" s="665">
        <v>8.1300000000000008</v>
      </c>
      <c r="H17" s="2653"/>
      <c r="I17" s="1063">
        <f>ROUND(1026*Belarus*(1-C49),2)</f>
        <v>1026</v>
      </c>
      <c r="J17" s="546"/>
      <c r="K17" s="2659"/>
      <c r="L17" s="2641"/>
      <c r="M17" s="2641"/>
      <c r="N17" s="2655"/>
      <c r="O17" s="2655"/>
      <c r="P17" s="2655"/>
      <c r="Q17" s="2657"/>
      <c r="R17" s="2657"/>
      <c r="S17" s="2664"/>
    </row>
    <row r="18" spans="1:19" ht="20.25" customHeight="1">
      <c r="A18" s="2641"/>
      <c r="B18" s="2641" t="s">
        <v>2928</v>
      </c>
      <c r="C18" s="2641" t="s">
        <v>2923</v>
      </c>
      <c r="D18" s="665">
        <v>1.5</v>
      </c>
      <c r="E18" s="665" t="s">
        <v>2882</v>
      </c>
      <c r="F18" s="560">
        <v>2</v>
      </c>
      <c r="G18" s="665">
        <v>4.07</v>
      </c>
      <c r="H18" s="2653"/>
      <c r="I18" s="1063">
        <f>ROUND(769*Belarus*(1-C49),2)</f>
        <v>769</v>
      </c>
      <c r="J18" s="546"/>
      <c r="K18" s="2659"/>
      <c r="L18" s="2641" t="s">
        <v>2937</v>
      </c>
      <c r="M18" s="2641"/>
      <c r="N18" s="2655" t="s">
        <v>369</v>
      </c>
      <c r="O18" s="2655" t="s">
        <v>2938</v>
      </c>
      <c r="P18" s="2655" t="s">
        <v>369</v>
      </c>
      <c r="Q18" s="2657">
        <v>0.05</v>
      </c>
      <c r="R18" s="2657">
        <v>100</v>
      </c>
      <c r="S18" s="2664">
        <f>ROUND(20*Belarus*(1-C49),2)</f>
        <v>20</v>
      </c>
    </row>
    <row r="19" spans="1:19" ht="18.75" customHeight="1">
      <c r="A19" s="2641"/>
      <c r="B19" s="2641"/>
      <c r="C19" s="2641"/>
      <c r="D19" s="665">
        <v>2.5</v>
      </c>
      <c r="E19" s="561" t="s">
        <v>2932</v>
      </c>
      <c r="F19" s="560">
        <v>4</v>
      </c>
      <c r="G19" s="665">
        <v>6.78</v>
      </c>
      <c r="H19" s="2653"/>
      <c r="I19" s="1063">
        <f>ROUND(1204*Belarus*(1-C49),2)</f>
        <v>1204</v>
      </c>
      <c r="J19" s="546"/>
      <c r="K19" s="2659"/>
      <c r="L19" s="2641"/>
      <c r="M19" s="2641"/>
      <c r="N19" s="2655"/>
      <c r="O19" s="2655"/>
      <c r="P19" s="2655"/>
      <c r="Q19" s="2657"/>
      <c r="R19" s="2657"/>
      <c r="S19" s="2664"/>
    </row>
    <row r="20" spans="1:19" ht="30" customHeight="1">
      <c r="A20" s="2641"/>
      <c r="B20" s="2641"/>
      <c r="C20" s="2641"/>
      <c r="D20" s="665">
        <v>2.5</v>
      </c>
      <c r="E20" s="561" t="s">
        <v>2882</v>
      </c>
      <c r="F20" s="560">
        <v>5</v>
      </c>
      <c r="G20" s="665">
        <v>6.78</v>
      </c>
      <c r="H20" s="2653"/>
      <c r="I20" s="1063">
        <f>ROUND(1204*Belarus*(1-C49),2)</f>
        <v>1204</v>
      </c>
      <c r="J20" s="546"/>
      <c r="K20" s="2659"/>
      <c r="L20" s="2641"/>
      <c r="M20" s="2641"/>
      <c r="N20" s="2655"/>
      <c r="O20" s="2655"/>
      <c r="P20" s="2655"/>
      <c r="Q20" s="2657"/>
      <c r="R20" s="2657"/>
      <c r="S20" s="2664"/>
    </row>
    <row r="21" spans="1:19" ht="25.5" customHeight="1">
      <c r="A21" s="2641"/>
      <c r="B21" s="2641"/>
      <c r="C21" s="2641"/>
      <c r="D21" s="665">
        <v>3</v>
      </c>
      <c r="E21" s="561" t="s">
        <v>2896</v>
      </c>
      <c r="F21" s="560">
        <v>5</v>
      </c>
      <c r="G21" s="665">
        <v>8.1300000000000008</v>
      </c>
      <c r="H21" s="2653"/>
      <c r="I21" s="1063">
        <f>ROUND(1444*Belarus*(1-C49),2)</f>
        <v>1444</v>
      </c>
      <c r="J21" s="546"/>
      <c r="K21" s="2659"/>
      <c r="L21" s="2641" t="s">
        <v>2939</v>
      </c>
      <c r="M21" s="2641"/>
      <c r="N21" s="2655" t="s">
        <v>369</v>
      </c>
      <c r="O21" s="2655" t="s">
        <v>2940</v>
      </c>
      <c r="P21" s="2655" t="s">
        <v>369</v>
      </c>
      <c r="Q21" s="2657">
        <v>0.72</v>
      </c>
      <c r="R21" s="2657">
        <v>2</v>
      </c>
      <c r="S21" s="2664">
        <f>ROUND(545*Belarus*(1-C49),2)</f>
        <v>545</v>
      </c>
    </row>
    <row r="22" spans="1:19" ht="24.75" customHeight="1">
      <c r="A22" s="2641"/>
      <c r="B22" s="2641"/>
      <c r="C22" s="2641" t="s">
        <v>2934</v>
      </c>
      <c r="D22" s="665">
        <v>4</v>
      </c>
      <c r="E22" s="665" t="s">
        <v>2882</v>
      </c>
      <c r="F22" s="560">
        <v>6</v>
      </c>
      <c r="G22" s="665">
        <v>15.52</v>
      </c>
      <c r="H22" s="2665">
        <v>64</v>
      </c>
      <c r="I22" s="1063">
        <f>ROUND(2793*Belarus*(1-C49),2)</f>
        <v>2793</v>
      </c>
      <c r="J22" s="546"/>
      <c r="K22" s="2659"/>
      <c r="L22" s="2641"/>
      <c r="M22" s="2641"/>
      <c r="N22" s="2655"/>
      <c r="O22" s="2655"/>
      <c r="P22" s="2655"/>
      <c r="Q22" s="2657"/>
      <c r="R22" s="2657"/>
      <c r="S22" s="2664"/>
    </row>
    <row r="23" spans="1:19" ht="33.75" customHeight="1">
      <c r="A23" s="2641"/>
      <c r="B23" s="2641"/>
      <c r="C23" s="2641"/>
      <c r="D23" s="665">
        <v>5</v>
      </c>
      <c r="E23" s="665" t="s">
        <v>2882</v>
      </c>
      <c r="F23" s="560">
        <v>8</v>
      </c>
      <c r="G23" s="665">
        <v>19.399999999999999</v>
      </c>
      <c r="H23" s="2666"/>
      <c r="I23" s="1063">
        <f>ROUND(3492*Belarus*(1-C49),2)</f>
        <v>3492</v>
      </c>
      <c r="J23" s="546"/>
      <c r="K23" s="562"/>
      <c r="L23" s="2641" t="s">
        <v>2943</v>
      </c>
      <c r="M23" s="2641"/>
      <c r="N23" s="560" t="s">
        <v>369</v>
      </c>
      <c r="O23" s="560" t="s">
        <v>1510</v>
      </c>
      <c r="P23" s="560" t="s">
        <v>369</v>
      </c>
      <c r="Q23" s="554">
        <v>0.11</v>
      </c>
      <c r="R23" s="555" t="s">
        <v>2931</v>
      </c>
      <c r="S23" s="1063">
        <f>ROUND(32*Belarus*(1-C49),2)</f>
        <v>32</v>
      </c>
    </row>
    <row r="24" spans="1:19" ht="24" customHeight="1">
      <c r="A24" s="2651"/>
      <c r="B24" s="2651" t="s">
        <v>2941</v>
      </c>
      <c r="C24" s="2655" t="s">
        <v>2942</v>
      </c>
      <c r="D24" s="2667" t="s">
        <v>369</v>
      </c>
      <c r="E24" s="2669" t="s">
        <v>2882</v>
      </c>
      <c r="F24" s="2669" t="s">
        <v>369</v>
      </c>
      <c r="G24" s="2670">
        <v>0.05</v>
      </c>
      <c r="H24" s="2657">
        <v>100</v>
      </c>
      <c r="I24" s="2658">
        <f>ROUND(57*Belarus*(1-C49),2)</f>
        <v>57</v>
      </c>
      <c r="J24" s="546"/>
      <c r="K24" s="2671"/>
      <c r="L24" s="2673" t="s">
        <v>2946</v>
      </c>
      <c r="M24" s="2674"/>
      <c r="N24" s="560">
        <v>1.2</v>
      </c>
      <c r="O24" s="2667" t="s">
        <v>1510</v>
      </c>
      <c r="P24" s="2671" t="s">
        <v>369</v>
      </c>
      <c r="Q24" s="561">
        <v>6.65</v>
      </c>
      <c r="R24" s="2665" t="s">
        <v>2947</v>
      </c>
      <c r="S24" s="1063">
        <f>ROUND(1945*Belarus*(1-C49),2)</f>
        <v>1945</v>
      </c>
    </row>
    <row r="25" spans="1:19" ht="22.5" customHeight="1">
      <c r="A25" s="2633"/>
      <c r="B25" s="2633"/>
      <c r="C25" s="2655"/>
      <c r="D25" s="2668"/>
      <c r="E25" s="2669"/>
      <c r="F25" s="2669"/>
      <c r="G25" s="2670"/>
      <c r="H25" s="2657"/>
      <c r="I25" s="2658"/>
      <c r="J25" s="546"/>
      <c r="K25" s="2672"/>
      <c r="L25" s="2675"/>
      <c r="M25" s="2676"/>
      <c r="N25" s="671">
        <v>1.5</v>
      </c>
      <c r="O25" s="2668"/>
      <c r="P25" s="2672"/>
      <c r="Q25" s="674">
        <v>8.35</v>
      </c>
      <c r="R25" s="2666"/>
      <c r="S25" s="1063">
        <f>ROUND(2495*Belarus*(1-C49),2)</f>
        <v>2495</v>
      </c>
    </row>
    <row r="26" spans="1:19" ht="21" customHeight="1">
      <c r="A26" s="2633"/>
      <c r="B26" s="2633"/>
      <c r="C26" s="2671" t="s">
        <v>2944</v>
      </c>
      <c r="D26" s="2667" t="s">
        <v>369</v>
      </c>
      <c r="E26" s="2667" t="s">
        <v>2945</v>
      </c>
      <c r="F26" s="2667" t="s">
        <v>369</v>
      </c>
      <c r="G26" s="2670"/>
      <c r="H26" s="2657"/>
      <c r="I26" s="2658"/>
      <c r="J26" s="546"/>
      <c r="K26" s="2671"/>
      <c r="L26" s="2677" t="s">
        <v>2951</v>
      </c>
      <c r="M26" s="2677"/>
      <c r="N26" s="2655" t="s">
        <v>369</v>
      </c>
      <c r="O26" s="2669" t="s">
        <v>1510</v>
      </c>
      <c r="P26" s="2655" t="s">
        <v>369</v>
      </c>
      <c r="Q26" s="2669">
        <v>0.16</v>
      </c>
      <c r="R26" s="2657" t="s">
        <v>2931</v>
      </c>
      <c r="S26" s="2658">
        <f>ROUND(32*Belarus*(1-C49),2)</f>
        <v>32</v>
      </c>
    </row>
    <row r="27" spans="1:19" ht="15.75" customHeight="1">
      <c r="A27" s="2633"/>
      <c r="B27" s="2633"/>
      <c r="C27" s="2672"/>
      <c r="D27" s="2668"/>
      <c r="E27" s="2668"/>
      <c r="F27" s="2668"/>
      <c r="G27" s="2670"/>
      <c r="H27" s="2657"/>
      <c r="I27" s="2658"/>
      <c r="J27" s="546"/>
      <c r="K27" s="2672"/>
      <c r="L27" s="2677"/>
      <c r="M27" s="2677"/>
      <c r="N27" s="2655"/>
      <c r="O27" s="2669"/>
      <c r="P27" s="2655"/>
      <c r="Q27" s="2669"/>
      <c r="R27" s="2657"/>
      <c r="S27" s="2658"/>
    </row>
    <row r="28" spans="1:19" ht="28.5" customHeight="1">
      <c r="A28" s="2633"/>
      <c r="B28" s="2633"/>
      <c r="C28" s="2655" t="s">
        <v>2948</v>
      </c>
      <c r="D28" s="2669" t="s">
        <v>369</v>
      </c>
      <c r="E28" s="2669" t="s">
        <v>2949</v>
      </c>
      <c r="F28" s="2669" t="s">
        <v>369</v>
      </c>
      <c r="G28" s="2670"/>
      <c r="H28" s="2657"/>
      <c r="I28" s="2658"/>
      <c r="J28" s="546"/>
      <c r="K28" s="2655"/>
      <c r="L28" s="2677" t="s">
        <v>2954</v>
      </c>
      <c r="M28" s="2677"/>
      <c r="N28" s="560">
        <v>1.2</v>
      </c>
      <c r="O28" s="2669" t="s">
        <v>1510</v>
      </c>
      <c r="P28" s="2655" t="s">
        <v>369</v>
      </c>
      <c r="Q28" s="561">
        <v>5.5</v>
      </c>
      <c r="R28" s="2657" t="s">
        <v>2947</v>
      </c>
      <c r="S28" s="1063">
        <f>ROUND(2058*Belarus*(1-C49),2)</f>
        <v>2058</v>
      </c>
    </row>
    <row r="29" spans="1:19" ht="31.5" customHeight="1">
      <c r="A29" s="2633"/>
      <c r="B29" s="2633"/>
      <c r="C29" s="2655"/>
      <c r="D29" s="2669"/>
      <c r="E29" s="2669"/>
      <c r="F29" s="2669"/>
      <c r="G29" s="2670"/>
      <c r="H29" s="2657"/>
      <c r="I29" s="2658"/>
      <c r="J29" s="546"/>
      <c r="K29" s="2655"/>
      <c r="L29" s="2677"/>
      <c r="M29" s="2677"/>
      <c r="N29" s="560">
        <v>1.5</v>
      </c>
      <c r="O29" s="2669"/>
      <c r="P29" s="2655"/>
      <c r="Q29" s="561">
        <v>8.65</v>
      </c>
      <c r="R29" s="2657"/>
      <c r="S29" s="1063">
        <f>ROUND(2139*Belarus*(1-C49),2)</f>
        <v>2139</v>
      </c>
    </row>
    <row r="30" spans="1:19" ht="27" customHeight="1">
      <c r="A30" s="2633"/>
      <c r="B30" s="2633"/>
      <c r="C30" s="2655" t="s">
        <v>2950</v>
      </c>
      <c r="D30" s="2669" t="s">
        <v>369</v>
      </c>
      <c r="E30" s="2669" t="s">
        <v>2882</v>
      </c>
      <c r="F30" s="2669" t="s">
        <v>369</v>
      </c>
      <c r="G30" s="2670"/>
      <c r="H30" s="2657"/>
      <c r="I30" s="2658"/>
      <c r="J30" s="546"/>
      <c r="K30" s="2655"/>
      <c r="L30" s="2677"/>
      <c r="M30" s="2677"/>
      <c r="N30" s="560">
        <v>1.8</v>
      </c>
      <c r="O30" s="2669"/>
      <c r="P30" s="2655"/>
      <c r="Q30" s="561">
        <v>11.8</v>
      </c>
      <c r="R30" s="2657"/>
      <c r="S30" s="1063">
        <f>ROUND(2707*Belarus*(1-C49),2)</f>
        <v>2707</v>
      </c>
    </row>
    <row r="31" spans="1:19" ht="27" customHeight="1">
      <c r="A31" s="2633"/>
      <c r="B31" s="2633"/>
      <c r="C31" s="2655"/>
      <c r="D31" s="2669"/>
      <c r="E31" s="2669"/>
      <c r="F31" s="2669"/>
      <c r="G31" s="2670"/>
      <c r="H31" s="2657"/>
      <c r="I31" s="2658"/>
      <c r="J31" s="546"/>
      <c r="K31" s="2671"/>
      <c r="L31" s="2677" t="s">
        <v>2958</v>
      </c>
      <c r="M31" s="2677"/>
      <c r="N31" s="2655" t="s">
        <v>369</v>
      </c>
      <c r="O31" s="2669" t="s">
        <v>1510</v>
      </c>
      <c r="P31" s="2655" t="s">
        <v>369</v>
      </c>
      <c r="Q31" s="2669">
        <v>0.12</v>
      </c>
      <c r="R31" s="2657" t="s">
        <v>2931</v>
      </c>
      <c r="S31" s="2658">
        <f>ROUND(32*Belarus*(1-C49),2)</f>
        <v>32</v>
      </c>
    </row>
    <row r="32" spans="1:19" ht="21" customHeight="1">
      <c r="A32" s="2634"/>
      <c r="B32" s="2634"/>
      <c r="C32" s="560" t="s">
        <v>2952</v>
      </c>
      <c r="D32" s="561" t="s">
        <v>369</v>
      </c>
      <c r="E32" s="561" t="s">
        <v>2882</v>
      </c>
      <c r="F32" s="561" t="s">
        <v>369</v>
      </c>
      <c r="G32" s="2670"/>
      <c r="H32" s="2657"/>
      <c r="I32" s="2658"/>
      <c r="J32" s="546"/>
      <c r="K32" s="2672"/>
      <c r="L32" s="2677"/>
      <c r="M32" s="2677"/>
      <c r="N32" s="2655"/>
      <c r="O32" s="2669"/>
      <c r="P32" s="2655"/>
      <c r="Q32" s="2669"/>
      <c r="R32" s="2657"/>
      <c r="S32" s="2658"/>
    </row>
    <row r="33" spans="1:19" ht="23.25" customHeight="1">
      <c r="A33" s="2678"/>
      <c r="B33" s="2680" t="s">
        <v>2953</v>
      </c>
      <c r="C33" s="2681"/>
      <c r="D33" s="2671" t="s">
        <v>369</v>
      </c>
      <c r="E33" s="2671" t="s">
        <v>2882</v>
      </c>
      <c r="F33" s="2671" t="s">
        <v>369</v>
      </c>
      <c r="G33" s="2684">
        <v>0.08</v>
      </c>
      <c r="H33" s="2665">
        <v>100</v>
      </c>
      <c r="I33" s="2688">
        <f>ROUND(99*Belarus*(1-C49),2)</f>
        <v>99</v>
      </c>
      <c r="J33" s="546"/>
      <c r="K33" s="2671"/>
      <c r="L33" s="2677" t="s">
        <v>2960</v>
      </c>
      <c r="M33" s="2677"/>
      <c r="N33" s="2655" t="s">
        <v>369</v>
      </c>
      <c r="O33" s="2669" t="s">
        <v>2882</v>
      </c>
      <c r="P33" s="2655" t="s">
        <v>369</v>
      </c>
      <c r="Q33" s="2669">
        <v>9.6</v>
      </c>
      <c r="R33" s="2657" t="s">
        <v>2947</v>
      </c>
      <c r="S33" s="2658">
        <f>ROUND(5770*Belarus*(1-C49),2)</f>
        <v>5770</v>
      </c>
    </row>
    <row r="34" spans="1:19" ht="25.5" customHeight="1">
      <c r="A34" s="2679"/>
      <c r="B34" s="2682"/>
      <c r="C34" s="2683"/>
      <c r="D34" s="2672"/>
      <c r="E34" s="2672"/>
      <c r="F34" s="2672"/>
      <c r="G34" s="2685"/>
      <c r="H34" s="2666"/>
      <c r="I34" s="2689"/>
      <c r="J34" s="546"/>
      <c r="K34" s="2672"/>
      <c r="L34" s="2677"/>
      <c r="M34" s="2677"/>
      <c r="N34" s="2655"/>
      <c r="O34" s="2669"/>
      <c r="P34" s="2655"/>
      <c r="Q34" s="2669"/>
      <c r="R34" s="2657"/>
      <c r="S34" s="2658"/>
    </row>
    <row r="35" spans="1:19" ht="42" customHeight="1">
      <c r="A35" s="553"/>
      <c r="B35" s="2680" t="s">
        <v>2955</v>
      </c>
      <c r="C35" s="2681"/>
      <c r="D35" s="671" t="s">
        <v>369</v>
      </c>
      <c r="E35" s="671" t="s">
        <v>2882</v>
      </c>
      <c r="F35" s="671" t="s">
        <v>369</v>
      </c>
      <c r="G35" s="558">
        <v>0.08</v>
      </c>
      <c r="H35" s="672" t="s">
        <v>369</v>
      </c>
      <c r="I35" s="1065">
        <f>ROUND(57*Belarus*(1-C49),2)</f>
        <v>57</v>
      </c>
      <c r="J35" s="546"/>
      <c r="K35" s="2686"/>
      <c r="L35" s="2662" t="s">
        <v>2961</v>
      </c>
      <c r="M35" s="2663"/>
      <c r="N35" s="2687" t="s">
        <v>2962</v>
      </c>
      <c r="O35" s="2687"/>
      <c r="P35" s="2687"/>
      <c r="Q35" s="2687"/>
      <c r="R35" s="673" t="s">
        <v>2947</v>
      </c>
      <c r="S35" s="1130">
        <f>ROUND(1622*Belarus*(1-C49),2)</f>
        <v>1622</v>
      </c>
    </row>
    <row r="36" spans="1:19" ht="37.5" customHeight="1">
      <c r="A36" s="553"/>
      <c r="B36" s="2641" t="s">
        <v>2956</v>
      </c>
      <c r="C36" s="2641"/>
      <c r="D36" s="560" t="s">
        <v>369</v>
      </c>
      <c r="E36" s="560" t="s">
        <v>2957</v>
      </c>
      <c r="F36" s="560" t="s">
        <v>369</v>
      </c>
      <c r="G36" s="665">
        <v>0.11</v>
      </c>
      <c r="H36" s="555">
        <v>240</v>
      </c>
      <c r="I36" s="1063">
        <f>ROUND(249*Belarus*(1-C49),2)</f>
        <v>249</v>
      </c>
      <c r="J36" s="546"/>
      <c r="K36" s="2686"/>
      <c r="L36" s="2662" t="s">
        <v>5337</v>
      </c>
      <c r="M36" s="2663"/>
      <c r="N36" s="2687" t="s">
        <v>2966</v>
      </c>
      <c r="O36" s="2687"/>
      <c r="P36" s="2687"/>
      <c r="Q36" s="2687"/>
      <c r="R36" s="673" t="s">
        <v>2947</v>
      </c>
      <c r="S36" s="1130">
        <f>ROUND(2565*Belarus*(1-C49),2)</f>
        <v>2565</v>
      </c>
    </row>
    <row r="37" spans="1:19" ht="43.5" customHeight="1">
      <c r="A37" s="559"/>
      <c r="B37" s="2641" t="s">
        <v>2963</v>
      </c>
      <c r="C37" s="2641"/>
      <c r="D37" s="560" t="s">
        <v>2964</v>
      </c>
      <c r="E37" s="560" t="s">
        <v>2965</v>
      </c>
      <c r="F37" s="560" t="s">
        <v>369</v>
      </c>
      <c r="G37" s="554">
        <v>0.1</v>
      </c>
      <c r="H37" s="555">
        <v>100</v>
      </c>
      <c r="I37" s="1063">
        <f>ROUND(99*Belarus*(1-C49),2)</f>
        <v>99</v>
      </c>
      <c r="J37" s="546"/>
      <c r="K37" s="2686"/>
      <c r="L37" s="2662" t="s">
        <v>2969</v>
      </c>
      <c r="M37" s="2663"/>
      <c r="N37" s="2687" t="s">
        <v>2966</v>
      </c>
      <c r="O37" s="2687"/>
      <c r="P37" s="2687"/>
      <c r="Q37" s="2687"/>
      <c r="R37" s="673" t="s">
        <v>2947</v>
      </c>
      <c r="S37" s="1130">
        <f>ROUND(820*Belarus*(1-C49),2)</f>
        <v>820</v>
      </c>
    </row>
    <row r="38" spans="1:19" ht="50.25" customHeight="1">
      <c r="A38" s="559"/>
      <c r="B38" s="2641" t="s">
        <v>2967</v>
      </c>
      <c r="C38" s="2641"/>
      <c r="D38" s="560" t="s">
        <v>2964</v>
      </c>
      <c r="E38" s="560" t="s">
        <v>2882</v>
      </c>
      <c r="F38" s="560" t="s">
        <v>369</v>
      </c>
      <c r="G38" s="554">
        <v>0.1</v>
      </c>
      <c r="H38" s="555">
        <v>100</v>
      </c>
      <c r="I38" s="1063">
        <f>ROUND(99*Belarus*(1-C49),2)</f>
        <v>99</v>
      </c>
      <c r="J38" s="546"/>
      <c r="K38" s="2671"/>
      <c r="L38" s="2673" t="s">
        <v>2973</v>
      </c>
      <c r="M38" s="2674"/>
      <c r="N38" s="2690" t="s">
        <v>2974</v>
      </c>
      <c r="O38" s="2691"/>
      <c r="P38" s="2692"/>
      <c r="Q38" s="2667" t="s">
        <v>2975</v>
      </c>
      <c r="R38" s="2665" t="s">
        <v>2976</v>
      </c>
      <c r="S38" s="2688">
        <f>ROUND(306*Belarus*(1-C49),2)</f>
        <v>306</v>
      </c>
    </row>
    <row r="39" spans="1:19" ht="45" customHeight="1">
      <c r="A39" s="559"/>
      <c r="B39" s="2641" t="s">
        <v>2968</v>
      </c>
      <c r="C39" s="2641"/>
      <c r="D39" s="560" t="s">
        <v>2964</v>
      </c>
      <c r="E39" s="560" t="s">
        <v>2890</v>
      </c>
      <c r="F39" s="560" t="s">
        <v>369</v>
      </c>
      <c r="G39" s="554">
        <v>0.1</v>
      </c>
      <c r="H39" s="555">
        <v>100</v>
      </c>
      <c r="I39" s="1063">
        <f>ROUND(99*Belarus*(1-C49),2)</f>
        <v>99</v>
      </c>
      <c r="J39" s="546"/>
      <c r="K39" s="2672"/>
      <c r="L39" s="2675"/>
      <c r="M39" s="2676"/>
      <c r="N39" s="2693"/>
      <c r="O39" s="2694"/>
      <c r="P39" s="2695"/>
      <c r="Q39" s="2668"/>
      <c r="R39" s="2666"/>
      <c r="S39" s="2689"/>
    </row>
    <row r="40" spans="1:19" ht="41.25" customHeight="1">
      <c r="A40" s="559"/>
      <c r="B40" s="2641" t="s">
        <v>2970</v>
      </c>
      <c r="C40" s="2641"/>
      <c r="D40" s="560" t="s">
        <v>2971</v>
      </c>
      <c r="E40" s="560" t="s">
        <v>2882</v>
      </c>
      <c r="F40" s="560" t="s">
        <v>369</v>
      </c>
      <c r="G40" s="554">
        <v>0.1</v>
      </c>
      <c r="H40" s="555">
        <v>100</v>
      </c>
      <c r="I40" s="1063">
        <f>ROUND(126*Belarus*(1-C49),2)</f>
        <v>126</v>
      </c>
      <c r="J40" s="546"/>
      <c r="K40" s="560"/>
      <c r="L40" s="2677" t="s">
        <v>2981</v>
      </c>
      <c r="M40" s="2677"/>
      <c r="N40" s="560" t="s">
        <v>2982</v>
      </c>
      <c r="O40" s="561" t="s">
        <v>369</v>
      </c>
      <c r="P40" s="560" t="s">
        <v>369</v>
      </c>
      <c r="Q40" s="561">
        <v>2</v>
      </c>
      <c r="R40" s="555" t="s">
        <v>2976</v>
      </c>
      <c r="S40" s="1063">
        <f>26000*Belarus</f>
        <v>26000</v>
      </c>
    </row>
    <row r="41" spans="1:19" ht="43.5" customHeight="1">
      <c r="A41" s="559"/>
      <c r="B41" s="2641" t="s">
        <v>2972</v>
      </c>
      <c r="C41" s="2641"/>
      <c r="D41" s="560" t="s">
        <v>2971</v>
      </c>
      <c r="E41" s="560" t="s">
        <v>2882</v>
      </c>
      <c r="F41" s="560" t="s">
        <v>369</v>
      </c>
      <c r="G41" s="554">
        <v>0.1</v>
      </c>
      <c r="H41" s="555">
        <v>100</v>
      </c>
      <c r="I41" s="1063">
        <f>ROUND(126*Belarus*(1-C49),2)</f>
        <v>126</v>
      </c>
      <c r="J41" s="546"/>
    </row>
    <row r="42" spans="1:19" ht="45" customHeight="1">
      <c r="A42" s="560"/>
      <c r="B42" s="2641" t="s">
        <v>2980</v>
      </c>
      <c r="C42" s="2641"/>
      <c r="D42" s="561" t="s">
        <v>2964</v>
      </c>
      <c r="E42" s="561" t="s">
        <v>2882</v>
      </c>
      <c r="F42" s="561" t="s">
        <v>369</v>
      </c>
      <c r="G42" s="557">
        <v>0.1</v>
      </c>
      <c r="H42" s="555">
        <v>100</v>
      </c>
      <c r="I42" s="1064">
        <f>ROUND(99*Belarus*(1-C49),2)</f>
        <v>99</v>
      </c>
      <c r="J42" s="546"/>
      <c r="K42" s="1409" t="s">
        <v>2983</v>
      </c>
      <c r="L42" s="1410"/>
      <c r="M42" s="1410"/>
      <c r="N42" s="1410"/>
      <c r="O42" s="1410"/>
      <c r="P42" s="1410"/>
      <c r="Q42" s="1410"/>
      <c r="R42" s="1410"/>
      <c r="S42" s="1411"/>
    </row>
    <row r="43" spans="1:19" ht="21.75" customHeight="1">
      <c r="A43" s="2700"/>
      <c r="B43" s="2680" t="s">
        <v>2984</v>
      </c>
      <c r="C43" s="2681"/>
      <c r="D43" s="2667" t="s">
        <v>369</v>
      </c>
      <c r="E43" s="2671" t="s">
        <v>1938</v>
      </c>
      <c r="F43" s="2671" t="s">
        <v>369</v>
      </c>
      <c r="G43" s="2696">
        <v>8.0000000000000002E-3</v>
      </c>
      <c r="H43" s="2665">
        <v>1500</v>
      </c>
      <c r="I43" s="2698">
        <f>ROUND(44*Belarus*(1-C49),2)</f>
        <v>44</v>
      </c>
      <c r="J43" s="546"/>
      <c r="K43" s="620" t="s">
        <v>2914</v>
      </c>
      <c r="L43" s="1066"/>
      <c r="M43" s="1066"/>
      <c r="N43" s="1066"/>
      <c r="O43" s="1066"/>
      <c r="P43" s="1066"/>
      <c r="Q43" s="1066"/>
      <c r="R43" s="1066"/>
      <c r="S43" s="1067"/>
    </row>
    <row r="44" spans="1:19" ht="21.75" customHeight="1">
      <c r="A44" s="2687"/>
      <c r="B44" s="2682"/>
      <c r="C44" s="2683"/>
      <c r="D44" s="2668"/>
      <c r="E44" s="2672"/>
      <c r="F44" s="2672"/>
      <c r="G44" s="2697"/>
      <c r="H44" s="2666"/>
      <c r="I44" s="2699"/>
      <c r="J44" s="546"/>
      <c r="K44" s="1280" t="s">
        <v>2106</v>
      </c>
      <c r="L44" s="1280"/>
      <c r="M44" s="1280"/>
      <c r="N44" s="1280"/>
      <c r="O44" s="1280"/>
      <c r="P44" s="1280"/>
      <c r="Q44" s="1280"/>
      <c r="R44" s="1280"/>
      <c r="S44" s="1280"/>
    </row>
    <row r="45" spans="1:19" ht="29.25" customHeight="1">
      <c r="A45" s="1280" t="s">
        <v>2985</v>
      </c>
      <c r="B45" s="1280"/>
      <c r="C45" s="1280"/>
      <c r="D45" s="1280"/>
      <c r="E45" s="1280"/>
      <c r="F45" s="1280"/>
      <c r="G45" s="1280"/>
      <c r="H45" s="1280"/>
      <c r="I45" s="1280"/>
      <c r="J45" s="546"/>
      <c r="K45" s="2615" t="s">
        <v>6339</v>
      </c>
      <c r="L45" s="2616"/>
      <c r="M45" s="2616"/>
      <c r="N45" s="2616"/>
      <c r="O45" s="2616"/>
      <c r="P45" s="2616"/>
      <c r="Q45" s="2616"/>
      <c r="R45" s="2616"/>
      <c r="S45" s="2617"/>
    </row>
    <row r="46" spans="1:19">
      <c r="A46" s="1"/>
      <c r="B46" s="1"/>
      <c r="C46" s="1"/>
      <c r="D46" s="1"/>
      <c r="E46" s="1"/>
      <c r="F46" s="1"/>
      <c r="G46" s="546"/>
      <c r="H46" s="546"/>
      <c r="I46" s="1"/>
      <c r="J46" s="1"/>
      <c r="K46" s="1"/>
      <c r="L46" s="1"/>
      <c r="M46" s="1"/>
      <c r="N46" s="1"/>
      <c r="O46" s="1"/>
      <c r="P46" s="1"/>
      <c r="Q46" s="1"/>
      <c r="R46" s="1"/>
      <c r="S46" s="1"/>
    </row>
    <row r="47" spans="1:19">
      <c r="A47" s="1"/>
      <c r="B47" s="1"/>
      <c r="C47" s="1"/>
      <c r="D47" s="1"/>
      <c r="E47" s="1"/>
      <c r="F47" s="1"/>
      <c r="G47" s="546"/>
      <c r="H47" s="546"/>
      <c r="I47" s="1"/>
      <c r="J47" s="1"/>
      <c r="K47" s="1"/>
      <c r="L47" s="1"/>
      <c r="M47" s="1"/>
      <c r="N47" s="1"/>
      <c r="O47" s="1"/>
      <c r="P47" s="1"/>
      <c r="Q47" s="1"/>
      <c r="R47" s="1"/>
      <c r="S47" s="1"/>
    </row>
    <row r="48" spans="1:19">
      <c r="A48" s="1"/>
      <c r="B48" s="1"/>
      <c r="C48" s="1"/>
      <c r="D48" s="1"/>
      <c r="E48" s="1"/>
      <c r="F48" s="1"/>
      <c r="G48" s="546"/>
      <c r="H48" s="546"/>
      <c r="I48" s="1"/>
      <c r="J48" s="1"/>
      <c r="K48" s="1"/>
      <c r="L48" s="1"/>
      <c r="M48" s="1"/>
      <c r="N48" s="1"/>
      <c r="O48" s="1"/>
      <c r="P48" s="1"/>
      <c r="Q48" s="1"/>
      <c r="R48" s="1"/>
      <c r="S48" s="1"/>
    </row>
    <row r="49" spans="1:19">
      <c r="A49" s="2519" t="s">
        <v>1835</v>
      </c>
      <c r="B49" s="2519"/>
      <c r="C49" s="2618">
        <v>0</v>
      </c>
      <c r="D49" s="1"/>
      <c r="E49" s="1"/>
      <c r="F49" s="1"/>
      <c r="G49" s="546"/>
      <c r="H49" s="546"/>
      <c r="I49" s="1"/>
      <c r="J49" s="1"/>
      <c r="K49" s="1"/>
      <c r="L49" s="1"/>
      <c r="M49" s="1"/>
      <c r="N49" s="1"/>
      <c r="O49" s="1"/>
      <c r="P49" s="1"/>
      <c r="Q49" s="1"/>
      <c r="R49" s="1"/>
      <c r="S49" s="1"/>
    </row>
    <row r="50" spans="1:19">
      <c r="A50" s="2519"/>
      <c r="B50" s="2519"/>
      <c r="C50" s="2619"/>
      <c r="D50" s="1"/>
      <c r="E50" s="1"/>
      <c r="F50" s="1"/>
      <c r="G50" s="546"/>
      <c r="H50" s="546"/>
      <c r="I50" s="1"/>
      <c r="J50" s="1"/>
      <c r="K50" s="1"/>
      <c r="L50" s="1"/>
      <c r="M50" s="1"/>
      <c r="N50" s="1"/>
      <c r="O50" s="1"/>
      <c r="P50" s="1"/>
      <c r="Q50" s="1"/>
      <c r="R50" s="1"/>
      <c r="S50" s="1"/>
    </row>
  </sheetData>
  <sheetProtection selectLockedCells="1" selectUnlockedCells="1"/>
  <mergeCells count="174">
    <mergeCell ref="R38:R39"/>
    <mergeCell ref="K44:S44"/>
    <mergeCell ref="A45:I45"/>
    <mergeCell ref="K45:S45"/>
    <mergeCell ref="A49:B50"/>
    <mergeCell ref="C49:C50"/>
    <mergeCell ref="B42:C42"/>
    <mergeCell ref="K42:S42"/>
    <mergeCell ref="A43:A44"/>
    <mergeCell ref="B43:C44"/>
    <mergeCell ref="N37:Q37"/>
    <mergeCell ref="E43:E44"/>
    <mergeCell ref="F43:F44"/>
    <mergeCell ref="G43:G44"/>
    <mergeCell ref="H43:H44"/>
    <mergeCell ref="I43:I44"/>
    <mergeCell ref="L37:M37"/>
    <mergeCell ref="D43:D44"/>
    <mergeCell ref="L33:M34"/>
    <mergeCell ref="S38:S39"/>
    <mergeCell ref="B39:C39"/>
    <mergeCell ref="B40:C40"/>
    <mergeCell ref="L40:M40"/>
    <mergeCell ref="B41:C41"/>
    <mergeCell ref="L36:M36"/>
    <mergeCell ref="N36:Q36"/>
    <mergeCell ref="B37:C37"/>
    <mergeCell ref="I33:I34"/>
    <mergeCell ref="B38:C38"/>
    <mergeCell ref="K38:K39"/>
    <mergeCell ref="L38:M39"/>
    <mergeCell ref="N38:P39"/>
    <mergeCell ref="Q38:Q39"/>
    <mergeCell ref="O33:O34"/>
    <mergeCell ref="P33:P34"/>
    <mergeCell ref="Q33:Q34"/>
    <mergeCell ref="K33:K34"/>
    <mergeCell ref="Q31:Q32"/>
    <mergeCell ref="R31:R32"/>
    <mergeCell ref="S31:S32"/>
    <mergeCell ref="R33:R34"/>
    <mergeCell ref="S33:S34"/>
    <mergeCell ref="B35:C35"/>
    <mergeCell ref="K35:K37"/>
    <mergeCell ref="L35:M35"/>
    <mergeCell ref="N35:Q35"/>
    <mergeCell ref="B36:C36"/>
    <mergeCell ref="A33:A34"/>
    <mergeCell ref="B33:C34"/>
    <mergeCell ref="D33:D34"/>
    <mergeCell ref="E33:E34"/>
    <mergeCell ref="F33:F34"/>
    <mergeCell ref="O28:O30"/>
    <mergeCell ref="N33:N34"/>
    <mergeCell ref="O31:O32"/>
    <mergeCell ref="G33:G34"/>
    <mergeCell ref="H33:H34"/>
    <mergeCell ref="P28:P30"/>
    <mergeCell ref="R28:R30"/>
    <mergeCell ref="C30:C31"/>
    <mergeCell ref="D30:D31"/>
    <mergeCell ref="E30:E31"/>
    <mergeCell ref="F30:F31"/>
    <mergeCell ref="K31:K32"/>
    <mergeCell ref="L31:M32"/>
    <mergeCell ref="N31:N32"/>
    <mergeCell ref="P31:P32"/>
    <mergeCell ref="O26:O27"/>
    <mergeCell ref="P26:P27"/>
    <mergeCell ref="Q26:Q27"/>
    <mergeCell ref="R26:R27"/>
    <mergeCell ref="S26:S27"/>
    <mergeCell ref="C28:C29"/>
    <mergeCell ref="D28:D29"/>
    <mergeCell ref="E28:E29"/>
    <mergeCell ref="F28:F29"/>
    <mergeCell ref="K28:K30"/>
    <mergeCell ref="O24:O25"/>
    <mergeCell ref="P24:P25"/>
    <mergeCell ref="R24:R25"/>
    <mergeCell ref="C26:C27"/>
    <mergeCell ref="D26:D27"/>
    <mergeCell ref="E26:E27"/>
    <mergeCell ref="F26:F27"/>
    <mergeCell ref="K26:K27"/>
    <mergeCell ref="L26:M27"/>
    <mergeCell ref="N26:N27"/>
    <mergeCell ref="F24:F25"/>
    <mergeCell ref="G24:G32"/>
    <mergeCell ref="H24:H32"/>
    <mergeCell ref="I24:I32"/>
    <mergeCell ref="K24:K25"/>
    <mergeCell ref="L24:M25"/>
    <mergeCell ref="L28:M30"/>
    <mergeCell ref="R21:R22"/>
    <mergeCell ref="S21:S22"/>
    <mergeCell ref="C22:C23"/>
    <mergeCell ref="H22:H23"/>
    <mergeCell ref="L23:M23"/>
    <mergeCell ref="A24:A32"/>
    <mergeCell ref="B24:B32"/>
    <mergeCell ref="C24:C25"/>
    <mergeCell ref="D24:D25"/>
    <mergeCell ref="E24:E25"/>
    <mergeCell ref="P18:P20"/>
    <mergeCell ref="Q18:Q20"/>
    <mergeCell ref="R18:R20"/>
    <mergeCell ref="S18:S20"/>
    <mergeCell ref="K21:K22"/>
    <mergeCell ref="L21:M22"/>
    <mergeCell ref="N21:N22"/>
    <mergeCell ref="O21:O22"/>
    <mergeCell ref="P21:P22"/>
    <mergeCell ref="Q21:Q22"/>
    <mergeCell ref="B18:B23"/>
    <mergeCell ref="C18:C21"/>
    <mergeCell ref="K18:K20"/>
    <mergeCell ref="L18:M20"/>
    <mergeCell ref="N18:N20"/>
    <mergeCell ref="O18:O20"/>
    <mergeCell ref="N16:N17"/>
    <mergeCell ref="O16:O17"/>
    <mergeCell ref="P16:P17"/>
    <mergeCell ref="Q16:Q17"/>
    <mergeCell ref="R16:R17"/>
    <mergeCell ref="S16:S17"/>
    <mergeCell ref="Q14:Q15"/>
    <mergeCell ref="R14:R15"/>
    <mergeCell ref="S14:S15"/>
    <mergeCell ref="A15:I15"/>
    <mergeCell ref="A16:A23"/>
    <mergeCell ref="B16:B17"/>
    <mergeCell ref="C16:C17"/>
    <mergeCell ref="H16:H21"/>
    <mergeCell ref="K16:K17"/>
    <mergeCell ref="L16:M17"/>
    <mergeCell ref="B14:C14"/>
    <mergeCell ref="K14:K15"/>
    <mergeCell ref="L14:M15"/>
    <mergeCell ref="N14:N15"/>
    <mergeCell ref="O14:O15"/>
    <mergeCell ref="P14:P15"/>
    <mergeCell ref="S10:S11"/>
    <mergeCell ref="B11:C11"/>
    <mergeCell ref="B12:C12"/>
    <mergeCell ref="L12:M12"/>
    <mergeCell ref="B13:C13"/>
    <mergeCell ref="L13:M13"/>
    <mergeCell ref="R7:R9"/>
    <mergeCell ref="S7:S9"/>
    <mergeCell ref="C9:C10"/>
    <mergeCell ref="K10:K11"/>
    <mergeCell ref="L10:M11"/>
    <mergeCell ref="N10:N11"/>
    <mergeCell ref="O10:O11"/>
    <mergeCell ref="P10:P11"/>
    <mergeCell ref="Q10:Q11"/>
    <mergeCell ref="R10:R11"/>
    <mergeCell ref="K7:K9"/>
    <mergeCell ref="L7:M9"/>
    <mergeCell ref="N7:N9"/>
    <mergeCell ref="O7:O9"/>
    <mergeCell ref="P7:P9"/>
    <mergeCell ref="Q7:Q9"/>
    <mergeCell ref="A1:D1"/>
    <mergeCell ref="A2:O2"/>
    <mergeCell ref="B4:C4"/>
    <mergeCell ref="A5:I5"/>
    <mergeCell ref="K5:S5"/>
    <mergeCell ref="A6:A10"/>
    <mergeCell ref="L6:M6"/>
    <mergeCell ref="B7:B10"/>
    <mergeCell ref="C7:C8"/>
    <mergeCell ref="H7:H10"/>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43"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41</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pageSetUpPr fitToPage="1"/>
  </sheetPr>
  <dimension ref="A1:Y51"/>
  <sheetViews>
    <sheetView topLeftCell="B1" zoomScale="70" zoomScaleNormal="70" zoomScaleSheetLayoutView="90" workbookViewId="0">
      <selection activeCell="A2" sqref="A2:V2"/>
    </sheetView>
  </sheetViews>
  <sheetFormatPr defaultRowHeight="15"/>
  <cols>
    <col min="1" max="1" width="20.28515625" style="1061" customWidth="1"/>
    <col min="2" max="2" width="14.7109375" style="1061" customWidth="1"/>
    <col min="3" max="3" width="13.42578125" style="1061" customWidth="1"/>
    <col min="4" max="4" width="21.7109375" style="1061" customWidth="1"/>
    <col min="5" max="5" width="10" style="1061" customWidth="1"/>
    <col min="6" max="6" width="6.28515625" style="1061" customWidth="1"/>
    <col min="7" max="7" width="5.42578125" style="1061" customWidth="1"/>
    <col min="8" max="15" width="5" style="1061" customWidth="1"/>
    <col min="16" max="16" width="2" style="1061" customWidth="1"/>
    <col min="17" max="17" width="14" style="1061" customWidth="1"/>
    <col min="18" max="18" width="15.42578125" style="1061" customWidth="1"/>
    <col min="19" max="20" width="9.140625" style="1061"/>
    <col min="21" max="22" width="16" style="1061" customWidth="1"/>
    <col min="23" max="23" width="12.140625" style="1061" customWidth="1"/>
    <col min="24" max="25" width="18.140625" style="1061" customWidth="1"/>
    <col min="26" max="16384" width="9.140625" style="1061"/>
  </cols>
  <sheetData>
    <row r="1" spans="1:25">
      <c r="A1" s="1666" t="s">
        <v>312</v>
      </c>
      <c r="B1" s="1666"/>
      <c r="C1" s="1666"/>
      <c r="D1" s="1666"/>
      <c r="E1" s="46"/>
      <c r="F1" s="46"/>
      <c r="G1" s="46"/>
      <c r="H1" s="46"/>
      <c r="I1" s="46"/>
      <c r="J1" s="46"/>
      <c r="K1" s="46"/>
      <c r="L1" s="46"/>
      <c r="M1" s="46"/>
      <c r="N1" s="46"/>
      <c r="O1" s="46"/>
      <c r="P1" s="46"/>
      <c r="Q1" s="46"/>
      <c r="R1" s="46"/>
      <c r="S1" s="46"/>
      <c r="T1" s="46"/>
      <c r="U1" s="46"/>
      <c r="V1" s="46"/>
      <c r="W1" s="46"/>
      <c r="X1" s="46"/>
      <c r="Y1" s="46"/>
    </row>
    <row r="2" spans="1:25" ht="17.25" customHeight="1" thickBot="1">
      <c r="A2" s="1273" t="s">
        <v>4258</v>
      </c>
      <c r="B2" s="1273"/>
      <c r="C2" s="1273"/>
      <c r="D2" s="1273"/>
      <c r="E2" s="1273"/>
      <c r="F2" s="1273"/>
      <c r="G2" s="1273"/>
      <c r="H2" s="1273"/>
      <c r="I2" s="1273"/>
      <c r="J2" s="1273"/>
      <c r="K2" s="1273"/>
      <c r="L2" s="1273"/>
      <c r="M2" s="1273"/>
      <c r="N2" s="1273"/>
      <c r="O2" s="1273"/>
      <c r="P2" s="1273"/>
      <c r="Q2" s="1273"/>
      <c r="R2" s="1273"/>
      <c r="S2" s="1273"/>
      <c r="T2" s="1273"/>
      <c r="U2" s="1273"/>
      <c r="V2" s="1273"/>
      <c r="W2" s="746"/>
      <c r="X2" s="734" t="s">
        <v>313</v>
      </c>
      <c r="Y2" s="742">
        <v>43244</v>
      </c>
    </row>
    <row r="3" spans="1:25" ht="13.5" customHeight="1">
      <c r="A3" s="879"/>
      <c r="B3" s="320"/>
      <c r="C3" s="320"/>
      <c r="D3" s="320"/>
      <c r="E3" s="320"/>
      <c r="F3" s="320"/>
      <c r="G3" s="46"/>
      <c r="H3" s="46"/>
      <c r="I3" s="46"/>
      <c r="J3" s="46"/>
      <c r="K3" s="46"/>
      <c r="L3" s="46"/>
      <c r="M3" s="46"/>
      <c r="N3" s="46"/>
      <c r="O3" s="46"/>
      <c r="P3" s="46"/>
      <c r="Q3" s="46"/>
      <c r="R3" s="46"/>
      <c r="S3" s="46"/>
      <c r="T3" s="320"/>
      <c r="U3" s="320"/>
      <c r="V3" s="46"/>
      <c r="W3" s="46"/>
      <c r="X3" s="547" t="s">
        <v>804</v>
      </c>
      <c r="Y3" s="152">
        <v>43244</v>
      </c>
    </row>
    <row r="4" spans="1:25" ht="72.75" customHeight="1">
      <c r="A4" s="1495" t="s">
        <v>1452</v>
      </c>
      <c r="B4" s="1388" t="s">
        <v>307</v>
      </c>
      <c r="C4" s="1388" t="s">
        <v>4259</v>
      </c>
      <c r="D4" s="1501" t="s">
        <v>4260</v>
      </c>
      <c r="E4" s="1585"/>
      <c r="F4" s="1585"/>
      <c r="G4" s="1585"/>
      <c r="H4" s="1479" t="s">
        <v>4261</v>
      </c>
      <c r="I4" s="1517"/>
      <c r="J4" s="1517"/>
      <c r="K4" s="1517"/>
      <c r="L4" s="1517"/>
      <c r="M4" s="1517"/>
      <c r="N4" s="1517"/>
      <c r="O4" s="1480"/>
      <c r="P4" s="46"/>
      <c r="Q4" s="1495" t="s">
        <v>1452</v>
      </c>
      <c r="R4" s="1388" t="s">
        <v>307</v>
      </c>
      <c r="S4" s="1388" t="s">
        <v>4259</v>
      </c>
      <c r="T4" s="1501" t="s">
        <v>4260</v>
      </c>
      <c r="U4" s="1585"/>
      <c r="V4" s="1585"/>
      <c r="W4" s="1502"/>
      <c r="X4" s="1388" t="s">
        <v>4261</v>
      </c>
      <c r="Y4" s="1388"/>
    </row>
    <row r="5" spans="1:25" ht="12.75" customHeight="1">
      <c r="A5" s="1496"/>
      <c r="B5" s="1388"/>
      <c r="C5" s="1388"/>
      <c r="D5" s="1503"/>
      <c r="E5" s="1586"/>
      <c r="F5" s="1586"/>
      <c r="G5" s="1586"/>
      <c r="H5" s="2736" t="s">
        <v>2793</v>
      </c>
      <c r="I5" s="2737"/>
      <c r="J5" s="2737"/>
      <c r="K5" s="2737"/>
      <c r="L5" s="2737"/>
      <c r="M5" s="2737"/>
      <c r="N5" s="2737"/>
      <c r="O5" s="2738"/>
      <c r="P5" s="46"/>
      <c r="Q5" s="1496"/>
      <c r="R5" s="1388"/>
      <c r="S5" s="1388"/>
      <c r="T5" s="1503"/>
      <c r="U5" s="1586"/>
      <c r="V5" s="1586"/>
      <c r="W5" s="1504"/>
      <c r="X5" s="1388" t="s">
        <v>2793</v>
      </c>
      <c r="Y5" s="1388"/>
    </row>
    <row r="6" spans="1:25" ht="12" customHeight="1">
      <c r="A6" s="1539"/>
      <c r="B6" s="2703" t="s">
        <v>4262</v>
      </c>
      <c r="C6" s="2704">
        <v>2</v>
      </c>
      <c r="D6" s="2739" t="s">
        <v>4263</v>
      </c>
      <c r="E6" s="2740"/>
      <c r="F6" s="2740"/>
      <c r="G6" s="2740"/>
      <c r="H6" s="2736" t="s">
        <v>326</v>
      </c>
      <c r="I6" s="2737"/>
      <c r="J6" s="2737"/>
      <c r="K6" s="2737"/>
      <c r="L6" s="1388" t="s">
        <v>4264</v>
      </c>
      <c r="M6" s="1388"/>
      <c r="N6" s="1388"/>
      <c r="O6" s="1388"/>
      <c r="P6" s="46"/>
      <c r="Q6" s="1388"/>
      <c r="R6" s="1388"/>
      <c r="S6" s="1388"/>
      <c r="T6" s="1388"/>
      <c r="U6" s="1388"/>
      <c r="V6" s="1388"/>
      <c r="W6" s="1388"/>
      <c r="X6" s="1388" t="s">
        <v>4265</v>
      </c>
      <c r="Y6" s="1388"/>
    </row>
    <row r="7" spans="1:25" ht="12" customHeight="1">
      <c r="A7" s="1539"/>
      <c r="B7" s="2703"/>
      <c r="C7" s="2704"/>
      <c r="D7" s="2741"/>
      <c r="E7" s="2742"/>
      <c r="F7" s="2742"/>
      <c r="G7" s="2742"/>
      <c r="H7" s="2736" t="s">
        <v>4266</v>
      </c>
      <c r="I7" s="2737"/>
      <c r="J7" s="2737"/>
      <c r="K7" s="2737"/>
      <c r="L7" s="2737"/>
      <c r="M7" s="2737"/>
      <c r="N7" s="2737"/>
      <c r="O7" s="2738"/>
      <c r="P7" s="46"/>
      <c r="Q7" s="1388"/>
      <c r="R7" s="1388"/>
      <c r="S7" s="1388"/>
      <c r="T7" s="1388"/>
      <c r="U7" s="1388"/>
      <c r="V7" s="1388"/>
      <c r="W7" s="1388"/>
      <c r="X7" s="107">
        <v>2500</v>
      </c>
      <c r="Y7" s="107">
        <v>3000</v>
      </c>
    </row>
    <row r="8" spans="1:25" ht="12.75" customHeight="1">
      <c r="A8" s="1539"/>
      <c r="B8" s="2703"/>
      <c r="C8" s="2704"/>
      <c r="D8" s="2741"/>
      <c r="E8" s="2742"/>
      <c r="F8" s="2742"/>
      <c r="G8" s="2742"/>
      <c r="H8" s="1479">
        <v>2500</v>
      </c>
      <c r="I8" s="1480"/>
      <c r="J8" s="1388">
        <v>3000</v>
      </c>
      <c r="K8" s="1388"/>
      <c r="L8" s="1388">
        <v>2500</v>
      </c>
      <c r="M8" s="1388"/>
      <c r="N8" s="1388">
        <v>3000</v>
      </c>
      <c r="O8" s="1388"/>
      <c r="P8" s="46"/>
      <c r="Q8" s="2702"/>
      <c r="R8" s="2703" t="s">
        <v>4267</v>
      </c>
      <c r="S8" s="2704">
        <v>1.65</v>
      </c>
      <c r="T8" s="1786" t="s">
        <v>4268</v>
      </c>
      <c r="U8" s="1787"/>
      <c r="V8" s="1787"/>
      <c r="W8" s="1788"/>
      <c r="X8" s="1760">
        <f>(W16*3+W27*2+W29*2+W37+W42*27)/2.5</f>
        <v>1982.8</v>
      </c>
      <c r="Y8" s="1760">
        <f>(W16*3+W27*2+W30*2+W37+W42*27)/2.5</f>
        <v>2074.8000000000002</v>
      </c>
    </row>
    <row r="9" spans="1:25" ht="27" customHeight="1">
      <c r="A9" s="1539"/>
      <c r="B9" s="2703"/>
      <c r="C9" s="2704"/>
      <c r="D9" s="2743"/>
      <c r="E9" s="2744"/>
      <c r="F9" s="2744"/>
      <c r="G9" s="2745"/>
      <c r="H9" s="1760">
        <f>(W18*2+W23+W33*2+W42*44)/2.5</f>
        <v>672.8</v>
      </c>
      <c r="I9" s="1760"/>
      <c r="J9" s="1760">
        <f>(W18*2+W25+W33*2+W42*44)/2.5</f>
        <v>732</v>
      </c>
      <c r="K9" s="1760"/>
      <c r="L9" s="1760">
        <f>(W19*2+W24+W34*2+W42*44)/2.5</f>
        <v>977.2</v>
      </c>
      <c r="M9" s="1760"/>
      <c r="N9" s="1760">
        <f>(W19*2+W26+W34*2+W42*44)/2.5</f>
        <v>1063.5999999999999</v>
      </c>
      <c r="O9" s="1760"/>
      <c r="P9" s="46"/>
      <c r="Q9" s="2702"/>
      <c r="R9" s="2703"/>
      <c r="S9" s="2704"/>
      <c r="T9" s="1817"/>
      <c r="U9" s="1927"/>
      <c r="V9" s="1927"/>
      <c r="W9" s="1818"/>
      <c r="X9" s="1760"/>
      <c r="Y9" s="1760"/>
    </row>
    <row r="10" spans="1:25" ht="12.75" customHeight="1">
      <c r="A10" s="1388"/>
      <c r="B10" s="1388"/>
      <c r="C10" s="1388"/>
      <c r="D10" s="1388"/>
      <c r="E10" s="1388"/>
      <c r="F10" s="1388"/>
      <c r="G10" s="1388"/>
      <c r="H10" s="1388" t="s">
        <v>4266</v>
      </c>
      <c r="I10" s="1388"/>
      <c r="J10" s="1388"/>
      <c r="K10" s="1388"/>
      <c r="L10" s="1388"/>
      <c r="M10" s="1388"/>
      <c r="N10" s="1388"/>
      <c r="O10" s="1388"/>
      <c r="P10" s="46"/>
      <c r="Q10" s="2702"/>
      <c r="R10" s="2703"/>
      <c r="S10" s="2704">
        <v>2</v>
      </c>
      <c r="T10" s="1817"/>
      <c r="U10" s="1927"/>
      <c r="V10" s="1927"/>
      <c r="W10" s="1818"/>
      <c r="X10" s="1760">
        <f>(W17*3+W27*2+W29*2+W37+W42*27)/2.5</f>
        <v>2215.6</v>
      </c>
      <c r="Y10" s="1760">
        <f>(W17*3+W27*2+W30*2+W37+W42*27)/2.5</f>
        <v>2307.6</v>
      </c>
    </row>
    <row r="11" spans="1:25" ht="12.75" customHeight="1">
      <c r="A11" s="1388"/>
      <c r="B11" s="1388"/>
      <c r="C11" s="1388"/>
      <c r="D11" s="1388"/>
      <c r="E11" s="1388"/>
      <c r="F11" s="1388"/>
      <c r="G11" s="1388"/>
      <c r="H11" s="1388">
        <v>2500</v>
      </c>
      <c r="I11" s="1388"/>
      <c r="J11" s="1388"/>
      <c r="K11" s="1388"/>
      <c r="L11" s="1388">
        <v>3000</v>
      </c>
      <c r="M11" s="1388"/>
      <c r="N11" s="1388"/>
      <c r="O11" s="1388"/>
      <c r="P11" s="46"/>
      <c r="Q11" s="2702"/>
      <c r="R11" s="2703"/>
      <c r="S11" s="2704"/>
      <c r="T11" s="1789"/>
      <c r="U11" s="1790"/>
      <c r="V11" s="1790"/>
      <c r="W11" s="1791"/>
      <c r="X11" s="1760"/>
      <c r="Y11" s="1760"/>
    </row>
    <row r="12" spans="1:25" ht="47.25" customHeight="1">
      <c r="A12" s="2702"/>
      <c r="B12" s="2703" t="s">
        <v>4269</v>
      </c>
      <c r="C12" s="563">
        <v>1.65</v>
      </c>
      <c r="D12" s="1332" t="s">
        <v>4270</v>
      </c>
      <c r="E12" s="1332"/>
      <c r="F12" s="1332"/>
      <c r="G12" s="1332"/>
      <c r="H12" s="1760">
        <f>(W16*3+W24+W27*2+W35*2+W42*26)/2.5</f>
        <v>2016</v>
      </c>
      <c r="I12" s="1760"/>
      <c r="J12" s="1760"/>
      <c r="K12" s="1760"/>
      <c r="L12" s="1760">
        <f>(W16*3+W26+W27*2+W35*2+W42*26)/2.5</f>
        <v>2102.4</v>
      </c>
      <c r="M12" s="1760"/>
      <c r="N12" s="1760"/>
      <c r="O12" s="1760"/>
      <c r="P12" s="46"/>
      <c r="Q12" s="1618"/>
      <c r="R12" s="2703" t="s">
        <v>4271</v>
      </c>
      <c r="S12" s="563">
        <v>2</v>
      </c>
      <c r="T12" s="1786" t="s">
        <v>4272</v>
      </c>
      <c r="U12" s="1787"/>
      <c r="V12" s="1787"/>
      <c r="W12" s="1788"/>
      <c r="X12" s="769">
        <f>(W16*3+W27*3+W28+W29*2+W36+W42*33)/2.5</f>
        <v>2664.4</v>
      </c>
      <c r="Y12" s="769">
        <f>(W16*3+W27*3+W28+W30*2+W36+W42*36)/2.5</f>
        <v>2761.2</v>
      </c>
    </row>
    <row r="13" spans="1:25" ht="47.25" customHeight="1">
      <c r="A13" s="2702"/>
      <c r="B13" s="2703"/>
      <c r="C13" s="563">
        <v>2</v>
      </c>
      <c r="D13" s="1332"/>
      <c r="E13" s="1332"/>
      <c r="F13" s="1332"/>
      <c r="G13" s="1332"/>
      <c r="H13" s="1760">
        <f>(W17*3+W24+W27*2+W35*2+W42*26)/2.5</f>
        <v>2248.8000000000002</v>
      </c>
      <c r="I13" s="1760"/>
      <c r="J13" s="1760"/>
      <c r="K13" s="1760"/>
      <c r="L13" s="1760">
        <f>(W17*3+W26+W27*2+W35*2+W42*26)/2.5</f>
        <v>2335.1999999999998</v>
      </c>
      <c r="M13" s="1760"/>
      <c r="N13" s="1760"/>
      <c r="O13" s="1760"/>
      <c r="P13" s="46"/>
      <c r="Q13" s="1618"/>
      <c r="R13" s="2703"/>
      <c r="S13" s="563">
        <v>2.4</v>
      </c>
      <c r="T13" s="1789"/>
      <c r="U13" s="1790"/>
      <c r="V13" s="1790"/>
      <c r="W13" s="1791"/>
      <c r="X13" s="769">
        <f>(W17*3+W27*3+W28+W29*2+W26+W39*2+W42*39)/2.5</f>
        <v>3429.2</v>
      </c>
      <c r="Y13" s="769">
        <f>(W17*3+W27*3+W28+W30*2+W26+W39*2+W42*43)/2.5</f>
        <v>3527.6</v>
      </c>
    </row>
    <row r="14" spans="1:25" ht="15" customHeight="1">
      <c r="A14" s="1479" t="s">
        <v>4273</v>
      </c>
      <c r="B14" s="1517"/>
      <c r="C14" s="1517"/>
      <c r="D14" s="1517"/>
      <c r="E14" s="1517"/>
      <c r="F14" s="1517"/>
      <c r="G14" s="1517"/>
      <c r="H14" s="1517"/>
      <c r="I14" s="1517"/>
      <c r="J14" s="1517"/>
      <c r="K14" s="1517"/>
      <c r="L14" s="1517"/>
      <c r="M14" s="1517"/>
      <c r="N14" s="1517"/>
      <c r="O14" s="1517"/>
      <c r="P14" s="1517"/>
      <c r="Q14" s="1517"/>
      <c r="R14" s="1517"/>
      <c r="S14" s="1517"/>
      <c r="T14" s="1517"/>
      <c r="U14" s="1517"/>
      <c r="V14" s="1517"/>
      <c r="W14" s="1517"/>
      <c r="X14" s="1517"/>
      <c r="Y14" s="1480"/>
    </row>
    <row r="15" spans="1:25" ht="28.5" customHeight="1">
      <c r="A15" s="107" t="s">
        <v>1452</v>
      </c>
      <c r="B15" s="1479" t="s">
        <v>307</v>
      </c>
      <c r="C15" s="1517"/>
      <c r="D15" s="1480"/>
      <c r="E15" s="1388" t="s">
        <v>4274</v>
      </c>
      <c r="F15" s="1388"/>
      <c r="G15" s="1388"/>
      <c r="H15" s="1388" t="s">
        <v>4275</v>
      </c>
      <c r="I15" s="1388"/>
      <c r="J15" s="1388"/>
      <c r="K15" s="1388"/>
      <c r="L15" s="1388" t="s">
        <v>4276</v>
      </c>
      <c r="M15" s="1388"/>
      <c r="N15" s="1388"/>
      <c r="O15" s="1388"/>
      <c r="P15" s="1388"/>
      <c r="Q15" s="1388" t="s">
        <v>2876</v>
      </c>
      <c r="R15" s="1388"/>
      <c r="S15" s="1388"/>
      <c r="T15" s="1388"/>
      <c r="U15" s="1388" t="s">
        <v>2986</v>
      </c>
      <c r="V15" s="1388"/>
      <c r="W15" s="1388" t="s">
        <v>769</v>
      </c>
      <c r="X15" s="1388"/>
      <c r="Y15" s="1388"/>
    </row>
    <row r="16" spans="1:25" ht="19.5" customHeight="1">
      <c r="A16" s="2702"/>
      <c r="B16" s="2703" t="s">
        <v>2987</v>
      </c>
      <c r="C16" s="2703"/>
      <c r="D16" s="2703"/>
      <c r="E16" s="1716" t="s">
        <v>4277</v>
      </c>
      <c r="F16" s="1716"/>
      <c r="G16" s="1716"/>
      <c r="H16" s="1716">
        <v>100</v>
      </c>
      <c r="I16" s="1716"/>
      <c r="J16" s="1716"/>
      <c r="K16" s="1716"/>
      <c r="L16" s="2704">
        <v>5.9</v>
      </c>
      <c r="M16" s="2704"/>
      <c r="N16" s="2704"/>
      <c r="O16" s="2704"/>
      <c r="P16" s="2704"/>
      <c r="Q16" s="1877" t="s">
        <v>4278</v>
      </c>
      <c r="R16" s="1877"/>
      <c r="S16" s="1877"/>
      <c r="T16" s="1877"/>
      <c r="U16" s="2705">
        <v>0.5</v>
      </c>
      <c r="V16" s="2705"/>
      <c r="W16" s="2701">
        <f>ROUND(837*Belarus*(1-C50),2)</f>
        <v>837</v>
      </c>
      <c r="X16" s="2701"/>
      <c r="Y16" s="2701"/>
    </row>
    <row r="17" spans="1:25" ht="19.5" customHeight="1">
      <c r="A17" s="2702"/>
      <c r="B17" s="2703"/>
      <c r="C17" s="2703"/>
      <c r="D17" s="2703"/>
      <c r="E17" s="1716" t="s">
        <v>4279</v>
      </c>
      <c r="F17" s="1716"/>
      <c r="G17" s="1716"/>
      <c r="H17" s="1716">
        <v>100</v>
      </c>
      <c r="I17" s="1716"/>
      <c r="J17" s="1716"/>
      <c r="K17" s="1716"/>
      <c r="L17" s="2704">
        <v>7.3</v>
      </c>
      <c r="M17" s="2704"/>
      <c r="N17" s="2704"/>
      <c r="O17" s="2704"/>
      <c r="P17" s="2704"/>
      <c r="Q17" s="1877"/>
      <c r="R17" s="1877"/>
      <c r="S17" s="1877"/>
      <c r="T17" s="1877"/>
      <c r="U17" s="2705"/>
      <c r="V17" s="2705"/>
      <c r="W17" s="2701">
        <f>ROUND(1031*Belarus*(1-C50),2)</f>
        <v>1031</v>
      </c>
      <c r="X17" s="2701"/>
      <c r="Y17" s="2701"/>
    </row>
    <row r="18" spans="1:25" ht="12.75" customHeight="1">
      <c r="A18" s="2702"/>
      <c r="B18" s="2703" t="s">
        <v>4280</v>
      </c>
      <c r="C18" s="2703"/>
      <c r="D18" s="2703"/>
      <c r="E18" s="1399" t="s">
        <v>4281</v>
      </c>
      <c r="F18" s="1819"/>
      <c r="G18" s="1820"/>
      <c r="H18" s="1716">
        <v>180</v>
      </c>
      <c r="I18" s="1716"/>
      <c r="J18" s="1716"/>
      <c r="K18" s="1716"/>
      <c r="L18" s="2704">
        <v>2.4500000000000002</v>
      </c>
      <c r="M18" s="2704"/>
      <c r="N18" s="2704"/>
      <c r="O18" s="2704"/>
      <c r="P18" s="2704"/>
      <c r="Q18" s="1877" t="s">
        <v>4282</v>
      </c>
      <c r="R18" s="1877"/>
      <c r="S18" s="1877"/>
      <c r="T18" s="1877"/>
      <c r="U18" s="2705">
        <v>1</v>
      </c>
      <c r="V18" s="2705"/>
      <c r="W18" s="2701">
        <f>ROUND(330*Belarus*(1-C50),2)</f>
        <v>330</v>
      </c>
      <c r="X18" s="2701"/>
      <c r="Y18" s="2701"/>
    </row>
    <row r="19" spans="1:25" ht="39" customHeight="1">
      <c r="A19" s="2702"/>
      <c r="B19" s="2703"/>
      <c r="C19" s="2703"/>
      <c r="D19" s="2703"/>
      <c r="E19" s="1821"/>
      <c r="F19" s="1822"/>
      <c r="G19" s="1823"/>
      <c r="H19" s="1716">
        <v>180</v>
      </c>
      <c r="I19" s="1716"/>
      <c r="J19" s="1716"/>
      <c r="K19" s="1716"/>
      <c r="L19" s="2704">
        <v>2.4500000000000002</v>
      </c>
      <c r="M19" s="2704"/>
      <c r="N19" s="2704"/>
      <c r="O19" s="2704"/>
      <c r="P19" s="2704"/>
      <c r="Q19" s="1877" t="s">
        <v>4283</v>
      </c>
      <c r="R19" s="1877"/>
      <c r="S19" s="1877"/>
      <c r="T19" s="1877"/>
      <c r="U19" s="2705"/>
      <c r="V19" s="2705"/>
      <c r="W19" s="2701">
        <f>ROUND(494*Belarus*(1-C50),2)</f>
        <v>494</v>
      </c>
      <c r="X19" s="2701"/>
      <c r="Y19" s="2701"/>
    </row>
    <row r="20" spans="1:25" ht="12.75" customHeight="1">
      <c r="A20" s="2702"/>
      <c r="B20" s="2703"/>
      <c r="C20" s="2703"/>
      <c r="D20" s="2703"/>
      <c r="E20" s="1399" t="s">
        <v>4284</v>
      </c>
      <c r="F20" s="1819"/>
      <c r="G20" s="1820"/>
      <c r="H20" s="1716">
        <v>180</v>
      </c>
      <c r="I20" s="1716"/>
      <c r="J20" s="1716"/>
      <c r="K20" s="1716"/>
      <c r="L20" s="2704">
        <v>2.94</v>
      </c>
      <c r="M20" s="2704"/>
      <c r="N20" s="2704"/>
      <c r="O20" s="2704"/>
      <c r="P20" s="2704"/>
      <c r="Q20" s="1877" t="s">
        <v>4282</v>
      </c>
      <c r="R20" s="1877"/>
      <c r="S20" s="1877"/>
      <c r="T20" s="1877"/>
      <c r="U20" s="2705"/>
      <c r="V20" s="2705"/>
      <c r="W20" s="2701">
        <f>ROUND(396*Belarus*(1-C50),2)</f>
        <v>396</v>
      </c>
      <c r="X20" s="2701"/>
      <c r="Y20" s="2701"/>
    </row>
    <row r="21" spans="1:25" ht="15" customHeight="1">
      <c r="A21" s="2708"/>
      <c r="B21" s="2724" t="s">
        <v>4285</v>
      </c>
      <c r="C21" s="2725"/>
      <c r="D21" s="2726"/>
      <c r="E21" s="1399" t="s">
        <v>4286</v>
      </c>
      <c r="F21" s="1819"/>
      <c r="G21" s="1820"/>
      <c r="H21" s="1399">
        <v>96</v>
      </c>
      <c r="I21" s="1819"/>
      <c r="J21" s="1819"/>
      <c r="K21" s="1820"/>
      <c r="L21" s="2730">
        <v>6.78</v>
      </c>
      <c r="M21" s="2731"/>
      <c r="N21" s="2731"/>
      <c r="O21" s="2731"/>
      <c r="P21" s="2732"/>
      <c r="Q21" s="1877" t="s">
        <v>1510</v>
      </c>
      <c r="R21" s="1877"/>
      <c r="S21" s="1877"/>
      <c r="T21" s="1877"/>
      <c r="U21" s="2710">
        <v>1.4</v>
      </c>
      <c r="V21" s="2711"/>
      <c r="W21" s="2701">
        <f>ROUND(857*Belarus*(1-C50),2)</f>
        <v>857</v>
      </c>
      <c r="X21" s="2701"/>
      <c r="Y21" s="2701"/>
    </row>
    <row r="22" spans="1:25" ht="27" customHeight="1">
      <c r="A22" s="2723"/>
      <c r="B22" s="2727"/>
      <c r="C22" s="2728"/>
      <c r="D22" s="2729"/>
      <c r="E22" s="1821"/>
      <c r="F22" s="1822"/>
      <c r="G22" s="1823"/>
      <c r="H22" s="1821"/>
      <c r="I22" s="1822"/>
      <c r="J22" s="1822"/>
      <c r="K22" s="1823"/>
      <c r="L22" s="2733"/>
      <c r="M22" s="2734"/>
      <c r="N22" s="2734"/>
      <c r="O22" s="2734"/>
      <c r="P22" s="2735"/>
      <c r="Q22" s="1877" t="s">
        <v>4323</v>
      </c>
      <c r="R22" s="1877"/>
      <c r="S22" s="1877"/>
      <c r="T22" s="1877"/>
      <c r="U22" s="2712"/>
      <c r="V22" s="2713"/>
      <c r="W22" s="2701">
        <f>ROUND(1204*Belarus*(1-C50),2)</f>
        <v>1204</v>
      </c>
      <c r="X22" s="2701"/>
      <c r="Y22" s="2701"/>
    </row>
    <row r="23" spans="1:25" ht="13.5" customHeight="1">
      <c r="A23" s="2723"/>
      <c r="B23" s="2714" t="s">
        <v>4288</v>
      </c>
      <c r="C23" s="2715"/>
      <c r="D23" s="2716"/>
      <c r="E23" s="1716" t="s">
        <v>4289</v>
      </c>
      <c r="F23" s="1716"/>
      <c r="G23" s="1716"/>
      <c r="H23" s="1716">
        <v>96</v>
      </c>
      <c r="I23" s="1716"/>
      <c r="J23" s="1716"/>
      <c r="K23" s="1716"/>
      <c r="L23" s="2704">
        <v>6.78</v>
      </c>
      <c r="M23" s="2704"/>
      <c r="N23" s="2704"/>
      <c r="O23" s="2704"/>
      <c r="P23" s="2704"/>
      <c r="Q23" s="1877" t="s">
        <v>1510</v>
      </c>
      <c r="R23" s="1877"/>
      <c r="S23" s="1877"/>
      <c r="T23" s="1877"/>
      <c r="U23" s="2705">
        <v>1.4</v>
      </c>
      <c r="V23" s="2705"/>
      <c r="W23" s="2701">
        <f>ROUND(740*Belarus*(1-C50),2)</f>
        <v>740</v>
      </c>
      <c r="X23" s="2701"/>
      <c r="Y23" s="2701"/>
    </row>
    <row r="24" spans="1:25" ht="17.25" customHeight="1">
      <c r="A24" s="2723"/>
      <c r="B24" s="2717"/>
      <c r="C24" s="2718"/>
      <c r="D24" s="2719"/>
      <c r="E24" s="1716"/>
      <c r="F24" s="1716"/>
      <c r="G24" s="1716"/>
      <c r="H24" s="1716"/>
      <c r="I24" s="1716"/>
      <c r="J24" s="1716"/>
      <c r="K24" s="1716"/>
      <c r="L24" s="2704"/>
      <c r="M24" s="2704"/>
      <c r="N24" s="2704"/>
      <c r="O24" s="2704"/>
      <c r="P24" s="2704"/>
      <c r="Q24" s="1877" t="s">
        <v>4287</v>
      </c>
      <c r="R24" s="1877"/>
      <c r="S24" s="1877"/>
      <c r="T24" s="1877"/>
      <c r="U24" s="2705"/>
      <c r="V24" s="2705"/>
      <c r="W24" s="2701">
        <f>ROUND(1071*Belarus*(1-C50),2)</f>
        <v>1071</v>
      </c>
      <c r="X24" s="2701"/>
      <c r="Y24" s="2701"/>
    </row>
    <row r="25" spans="1:25" ht="12.75" customHeight="1">
      <c r="A25" s="2723"/>
      <c r="B25" s="2717"/>
      <c r="C25" s="2718"/>
      <c r="D25" s="2719"/>
      <c r="E25" s="1716" t="s">
        <v>4290</v>
      </c>
      <c r="F25" s="1716"/>
      <c r="G25" s="1716"/>
      <c r="H25" s="1716">
        <v>96</v>
      </c>
      <c r="I25" s="1716"/>
      <c r="J25" s="1716"/>
      <c r="K25" s="1716"/>
      <c r="L25" s="2704">
        <v>8.1300000000000008</v>
      </c>
      <c r="M25" s="2704"/>
      <c r="N25" s="2704"/>
      <c r="O25" s="2704"/>
      <c r="P25" s="2704"/>
      <c r="Q25" s="1877" t="s">
        <v>1510</v>
      </c>
      <c r="R25" s="1877"/>
      <c r="S25" s="1877"/>
      <c r="T25" s="1877"/>
      <c r="U25" s="2705"/>
      <c r="V25" s="2705"/>
      <c r="W25" s="2701">
        <f>ROUND(888*Belarus*(1-C50),2)</f>
        <v>888</v>
      </c>
      <c r="X25" s="2701"/>
      <c r="Y25" s="2701"/>
    </row>
    <row r="26" spans="1:25" ht="27.75" customHeight="1">
      <c r="A26" s="2709"/>
      <c r="B26" s="2720"/>
      <c r="C26" s="2721"/>
      <c r="D26" s="2722"/>
      <c r="E26" s="1716"/>
      <c r="F26" s="1716"/>
      <c r="G26" s="1716"/>
      <c r="H26" s="1716"/>
      <c r="I26" s="1716"/>
      <c r="J26" s="1716"/>
      <c r="K26" s="1716"/>
      <c r="L26" s="2704"/>
      <c r="M26" s="2704"/>
      <c r="N26" s="2704"/>
      <c r="O26" s="2704"/>
      <c r="P26" s="2704"/>
      <c r="Q26" s="1877" t="s">
        <v>4278</v>
      </c>
      <c r="R26" s="1877"/>
      <c r="S26" s="1877"/>
      <c r="T26" s="1877"/>
      <c r="U26" s="2705"/>
      <c r="V26" s="2705"/>
      <c r="W26" s="2701">
        <f>ROUND(1287*Belarus*(1-C50),2)</f>
        <v>1287</v>
      </c>
      <c r="X26" s="2701"/>
      <c r="Y26" s="2701"/>
    </row>
    <row r="27" spans="1:25" ht="41.25" customHeight="1">
      <c r="A27" s="386"/>
      <c r="B27" s="2703" t="s">
        <v>4291</v>
      </c>
      <c r="C27" s="2703"/>
      <c r="D27" s="2703"/>
      <c r="E27" s="1716" t="s">
        <v>4292</v>
      </c>
      <c r="F27" s="1716"/>
      <c r="G27" s="1716"/>
      <c r="H27" s="1716">
        <v>162</v>
      </c>
      <c r="I27" s="1716"/>
      <c r="J27" s="1716"/>
      <c r="K27" s="1716"/>
      <c r="L27" s="2704">
        <v>3.3</v>
      </c>
      <c r="M27" s="2704"/>
      <c r="N27" s="2704"/>
      <c r="O27" s="2704"/>
      <c r="P27" s="2704"/>
      <c r="Q27" s="1877" t="s">
        <v>4278</v>
      </c>
      <c r="R27" s="1877"/>
      <c r="S27" s="1877"/>
      <c r="T27" s="1877"/>
      <c r="U27" s="2705">
        <v>1</v>
      </c>
      <c r="V27" s="2705"/>
      <c r="W27" s="2701">
        <f>ROUND(573*Belarus*(1-C50),2)</f>
        <v>573</v>
      </c>
      <c r="X27" s="2701"/>
      <c r="Y27" s="2701"/>
    </row>
    <row r="28" spans="1:25" ht="42" customHeight="1">
      <c r="A28" s="386"/>
      <c r="B28" s="2703" t="s">
        <v>4293</v>
      </c>
      <c r="C28" s="2703"/>
      <c r="D28" s="2703"/>
      <c r="E28" s="1716" t="s">
        <v>4294</v>
      </c>
      <c r="F28" s="1716"/>
      <c r="G28" s="1716"/>
      <c r="H28" s="1716">
        <v>100</v>
      </c>
      <c r="I28" s="1716"/>
      <c r="J28" s="1716"/>
      <c r="K28" s="1716"/>
      <c r="L28" s="2704">
        <v>3.6</v>
      </c>
      <c r="M28" s="2704"/>
      <c r="N28" s="2704"/>
      <c r="O28" s="2704"/>
      <c r="P28" s="2704"/>
      <c r="Q28" s="1877" t="s">
        <v>4295</v>
      </c>
      <c r="R28" s="1877"/>
      <c r="S28" s="1877"/>
      <c r="T28" s="1877"/>
      <c r="U28" s="2705">
        <v>0.5</v>
      </c>
      <c r="V28" s="2705"/>
      <c r="W28" s="2701">
        <f>ROUND(1112*Belarus*(1-C50),2)</f>
        <v>1112</v>
      </c>
      <c r="X28" s="2701"/>
      <c r="Y28" s="2701"/>
    </row>
    <row r="29" spans="1:25" ht="22.5" customHeight="1">
      <c r="A29" s="2702"/>
      <c r="B29" s="2703" t="s">
        <v>4296</v>
      </c>
      <c r="C29" s="2703"/>
      <c r="D29" s="2703"/>
      <c r="E29" s="1716" t="s">
        <v>4297</v>
      </c>
      <c r="F29" s="1716"/>
      <c r="G29" s="1716"/>
      <c r="H29" s="1716">
        <v>154</v>
      </c>
      <c r="I29" s="1716"/>
      <c r="J29" s="1716"/>
      <c r="K29" s="1716"/>
      <c r="L29" s="2704">
        <v>3.3</v>
      </c>
      <c r="M29" s="2704"/>
      <c r="N29" s="2704"/>
      <c r="O29" s="2704"/>
      <c r="P29" s="2704"/>
      <c r="Q29" s="1877" t="s">
        <v>4278</v>
      </c>
      <c r="R29" s="1877"/>
      <c r="S29" s="1877"/>
      <c r="T29" s="1877"/>
      <c r="U29" s="2705">
        <v>1</v>
      </c>
      <c r="V29" s="2705"/>
      <c r="W29" s="2701">
        <f>ROUND(573*Belarus*(1-C50),2)</f>
        <v>573</v>
      </c>
      <c r="X29" s="2701"/>
      <c r="Y29" s="2701"/>
    </row>
    <row r="30" spans="1:25" ht="22.5" customHeight="1">
      <c r="A30" s="2702"/>
      <c r="B30" s="2703"/>
      <c r="C30" s="2703"/>
      <c r="D30" s="2703"/>
      <c r="E30" s="1716" t="s">
        <v>4298</v>
      </c>
      <c r="F30" s="1716"/>
      <c r="G30" s="1716"/>
      <c r="H30" s="1716">
        <v>154</v>
      </c>
      <c r="I30" s="1716"/>
      <c r="J30" s="1716"/>
      <c r="K30" s="1716"/>
      <c r="L30" s="2704">
        <v>3.96</v>
      </c>
      <c r="M30" s="2704"/>
      <c r="N30" s="2704"/>
      <c r="O30" s="2704"/>
      <c r="P30" s="2704"/>
      <c r="Q30" s="1877"/>
      <c r="R30" s="1877"/>
      <c r="S30" s="1877"/>
      <c r="T30" s="1877"/>
      <c r="U30" s="2705"/>
      <c r="V30" s="2705"/>
      <c r="W30" s="2701">
        <f>ROUND(688*Belarus*(1-C50),2)</f>
        <v>688</v>
      </c>
      <c r="X30" s="2701"/>
      <c r="Y30" s="2701"/>
    </row>
    <row r="31" spans="1:25" ht="22.5" customHeight="1">
      <c r="A31" s="2708"/>
      <c r="B31" s="1539" t="s">
        <v>4299</v>
      </c>
      <c r="C31" s="1539"/>
      <c r="D31" s="1332" t="s">
        <v>4300</v>
      </c>
      <c r="E31" s="1716" t="s">
        <v>4301</v>
      </c>
      <c r="F31" s="1716"/>
      <c r="G31" s="1716"/>
      <c r="H31" s="1716">
        <v>100</v>
      </c>
      <c r="I31" s="1716"/>
      <c r="J31" s="1716"/>
      <c r="K31" s="1716"/>
      <c r="L31" s="2704">
        <v>0.1</v>
      </c>
      <c r="M31" s="2704"/>
      <c r="N31" s="2704"/>
      <c r="O31" s="2704"/>
      <c r="P31" s="2704"/>
      <c r="Q31" s="1877" t="s">
        <v>1510</v>
      </c>
      <c r="R31" s="1877"/>
      <c r="S31" s="1877"/>
      <c r="T31" s="1877"/>
      <c r="U31" s="2706">
        <v>3</v>
      </c>
      <c r="V31" s="2707"/>
      <c r="W31" s="2701">
        <f>ROUND(58*Belarus*(1-C50),2)</f>
        <v>58</v>
      </c>
      <c r="X31" s="2701"/>
      <c r="Y31" s="2701"/>
    </row>
    <row r="32" spans="1:25" ht="22.5" customHeight="1">
      <c r="A32" s="2709"/>
      <c r="B32" s="1539" t="s">
        <v>4302</v>
      </c>
      <c r="C32" s="1539"/>
      <c r="D32" s="1332"/>
      <c r="E32" s="1716" t="s">
        <v>4303</v>
      </c>
      <c r="F32" s="1716"/>
      <c r="G32" s="1716"/>
      <c r="H32" s="1716">
        <v>100</v>
      </c>
      <c r="I32" s="1716"/>
      <c r="J32" s="1716"/>
      <c r="K32" s="1716"/>
      <c r="L32" s="2704">
        <v>0.06</v>
      </c>
      <c r="M32" s="2704"/>
      <c r="N32" s="2704"/>
      <c r="O32" s="2704"/>
      <c r="P32" s="2704"/>
      <c r="Q32" s="1877" t="s">
        <v>1510</v>
      </c>
      <c r="R32" s="1877"/>
      <c r="S32" s="1877"/>
      <c r="T32" s="1877"/>
      <c r="U32" s="2706">
        <v>3</v>
      </c>
      <c r="V32" s="2707"/>
      <c r="W32" s="2701">
        <f>ROUND(58*Belarus*(1-C50),2)</f>
        <v>58</v>
      </c>
      <c r="X32" s="2701"/>
      <c r="Y32" s="2701"/>
    </row>
    <row r="33" spans="1:25" ht="14.25" customHeight="1">
      <c r="A33" s="2702"/>
      <c r="B33" s="2703" t="s">
        <v>4304</v>
      </c>
      <c r="C33" s="2703"/>
      <c r="D33" s="2703"/>
      <c r="E33" s="1716" t="s">
        <v>4305</v>
      </c>
      <c r="F33" s="1716"/>
      <c r="G33" s="1716"/>
      <c r="H33" s="1716">
        <v>42</v>
      </c>
      <c r="I33" s="1716"/>
      <c r="J33" s="1716"/>
      <c r="K33" s="1716"/>
      <c r="L33" s="2704">
        <v>0.25</v>
      </c>
      <c r="M33" s="2704"/>
      <c r="N33" s="2704"/>
      <c r="O33" s="2704"/>
      <c r="P33" s="2704"/>
      <c r="Q33" s="1877" t="s">
        <v>1510</v>
      </c>
      <c r="R33" s="1877"/>
      <c r="S33" s="1877"/>
      <c r="T33" s="1877"/>
      <c r="U33" s="2705">
        <v>1.4</v>
      </c>
      <c r="V33" s="2705"/>
      <c r="W33" s="2701">
        <f>ROUND(53*Belarus*(1-C50),2)</f>
        <v>53</v>
      </c>
      <c r="X33" s="2701"/>
      <c r="Y33" s="2701"/>
    </row>
    <row r="34" spans="1:25" ht="39" customHeight="1">
      <c r="A34" s="2702"/>
      <c r="B34" s="2703"/>
      <c r="C34" s="2703"/>
      <c r="D34" s="2703"/>
      <c r="E34" s="1716"/>
      <c r="F34" s="1716"/>
      <c r="G34" s="1716"/>
      <c r="H34" s="1716"/>
      <c r="I34" s="1716"/>
      <c r="J34" s="1716"/>
      <c r="K34" s="1716"/>
      <c r="L34" s="2704"/>
      <c r="M34" s="2704"/>
      <c r="N34" s="2704"/>
      <c r="O34" s="2704"/>
      <c r="P34" s="2704"/>
      <c r="Q34" s="1877" t="s">
        <v>4283</v>
      </c>
      <c r="R34" s="1877"/>
      <c r="S34" s="1877"/>
      <c r="T34" s="1877"/>
      <c r="U34" s="2705"/>
      <c r="V34" s="2705"/>
      <c r="W34" s="2701">
        <f>ROUND(104*Belarus*(1-C50),2)</f>
        <v>104</v>
      </c>
      <c r="X34" s="2701"/>
      <c r="Y34" s="2701"/>
    </row>
    <row r="35" spans="1:25" ht="32.25" customHeight="1">
      <c r="A35" s="386"/>
      <c r="B35" s="2703" t="s">
        <v>4306</v>
      </c>
      <c r="C35" s="2703"/>
      <c r="D35" s="2703"/>
      <c r="E35" s="1716" t="s">
        <v>4307</v>
      </c>
      <c r="F35" s="1716"/>
      <c r="G35" s="1716"/>
      <c r="H35" s="1716">
        <v>30</v>
      </c>
      <c r="I35" s="1716"/>
      <c r="J35" s="1716"/>
      <c r="K35" s="1716"/>
      <c r="L35" s="2704">
        <v>0.3</v>
      </c>
      <c r="M35" s="2704"/>
      <c r="N35" s="2704"/>
      <c r="O35" s="2704"/>
      <c r="P35" s="2704"/>
      <c r="Q35" s="1877" t="s">
        <v>4283</v>
      </c>
      <c r="R35" s="1877"/>
      <c r="S35" s="1877"/>
      <c r="T35" s="1877"/>
      <c r="U35" s="2705">
        <v>1.4</v>
      </c>
      <c r="V35" s="2705"/>
      <c r="W35" s="2701">
        <f>ROUND(104*Belarus*(1-C50),2)</f>
        <v>104</v>
      </c>
      <c r="X35" s="2701"/>
      <c r="Y35" s="2701"/>
    </row>
    <row r="36" spans="1:25" ht="39" customHeight="1">
      <c r="A36" s="386"/>
      <c r="B36" s="2703" t="s">
        <v>4308</v>
      </c>
      <c r="C36" s="2703"/>
      <c r="D36" s="2703"/>
      <c r="E36" s="1716" t="s">
        <v>4309</v>
      </c>
      <c r="F36" s="1716"/>
      <c r="G36" s="1716"/>
      <c r="H36" s="1716">
        <v>80</v>
      </c>
      <c r="I36" s="1716"/>
      <c r="J36" s="1716"/>
      <c r="K36" s="1716"/>
      <c r="L36" s="2704">
        <v>0.02</v>
      </c>
      <c r="M36" s="2704"/>
      <c r="N36" s="2704"/>
      <c r="O36" s="2704"/>
      <c r="P36" s="2704"/>
      <c r="Q36" s="1877" t="s">
        <v>4278</v>
      </c>
      <c r="R36" s="1877"/>
      <c r="S36" s="1877"/>
      <c r="T36" s="1877"/>
      <c r="U36" s="2705">
        <v>0.5</v>
      </c>
      <c r="V36" s="2705"/>
      <c r="W36" s="2701">
        <f>ROUND(41*Belarus*(1-C50),2)</f>
        <v>41</v>
      </c>
      <c r="X36" s="2701"/>
      <c r="Y36" s="2701"/>
    </row>
    <row r="37" spans="1:25" ht="22.5" customHeight="1">
      <c r="A37" s="386"/>
      <c r="B37" s="2703" t="s">
        <v>4310</v>
      </c>
      <c r="C37" s="2703"/>
      <c r="D37" s="2703"/>
      <c r="E37" s="1716" t="s">
        <v>4311</v>
      </c>
      <c r="F37" s="1716"/>
      <c r="G37" s="1716"/>
      <c r="H37" s="1716">
        <v>200</v>
      </c>
      <c r="I37" s="1716"/>
      <c r="J37" s="1716"/>
      <c r="K37" s="1716"/>
      <c r="L37" s="2704">
        <v>0.03</v>
      </c>
      <c r="M37" s="2704"/>
      <c r="N37" s="2704"/>
      <c r="O37" s="2704"/>
      <c r="P37" s="2704"/>
      <c r="Q37" s="1877" t="s">
        <v>2988</v>
      </c>
      <c r="R37" s="1877"/>
      <c r="S37" s="1877"/>
      <c r="T37" s="1877"/>
      <c r="U37" s="2705" t="s">
        <v>369</v>
      </c>
      <c r="V37" s="2705"/>
      <c r="W37" s="2701">
        <f>ROUND(46*Belarus*(1-C50),2)</f>
        <v>46</v>
      </c>
      <c r="X37" s="2701"/>
      <c r="Y37" s="2701"/>
    </row>
    <row r="38" spans="1:25" ht="21" customHeight="1">
      <c r="A38" s="386"/>
      <c r="B38" s="2703" t="s">
        <v>4312</v>
      </c>
      <c r="C38" s="2703"/>
      <c r="D38" s="2703"/>
      <c r="E38" s="1716" t="s">
        <v>4313</v>
      </c>
      <c r="F38" s="1716"/>
      <c r="G38" s="1716"/>
      <c r="H38" s="1716">
        <v>100</v>
      </c>
      <c r="I38" s="1716"/>
      <c r="J38" s="1716"/>
      <c r="K38" s="1716"/>
      <c r="L38" s="2704">
        <v>0.15</v>
      </c>
      <c r="M38" s="2704"/>
      <c r="N38" s="2704"/>
      <c r="O38" s="2704"/>
      <c r="P38" s="2704"/>
      <c r="Q38" s="1877" t="s">
        <v>1510</v>
      </c>
      <c r="R38" s="1877"/>
      <c r="S38" s="1877"/>
      <c r="T38" s="1877"/>
      <c r="U38" s="2705">
        <v>1.4</v>
      </c>
      <c r="V38" s="2705"/>
      <c r="W38" s="2701">
        <f>ROUND(53*Belarus*(1-C50),2)</f>
        <v>53</v>
      </c>
      <c r="X38" s="2701"/>
      <c r="Y38" s="2701"/>
    </row>
    <row r="39" spans="1:25" ht="42" customHeight="1">
      <c r="A39" s="386"/>
      <c r="B39" s="2703" t="s">
        <v>4314</v>
      </c>
      <c r="C39" s="2703"/>
      <c r="D39" s="2703"/>
      <c r="E39" s="1716" t="s">
        <v>4315</v>
      </c>
      <c r="F39" s="1716"/>
      <c r="G39" s="1716"/>
      <c r="H39" s="1716">
        <v>160</v>
      </c>
      <c r="I39" s="1716"/>
      <c r="J39" s="1716"/>
      <c r="K39" s="1716"/>
      <c r="L39" s="2704">
        <v>0.01</v>
      </c>
      <c r="M39" s="2704"/>
      <c r="N39" s="2704"/>
      <c r="O39" s="2704"/>
      <c r="P39" s="2704"/>
      <c r="Q39" s="1877" t="s">
        <v>4278</v>
      </c>
      <c r="R39" s="1877"/>
      <c r="S39" s="1877"/>
      <c r="T39" s="1877"/>
      <c r="U39" s="2705">
        <v>0.5</v>
      </c>
      <c r="V39" s="2705"/>
      <c r="W39" s="2701">
        <f>ROUND(30*Belarus*(1-C50),2)</f>
        <v>30</v>
      </c>
      <c r="X39" s="2701"/>
      <c r="Y39" s="2701"/>
    </row>
    <row r="40" spans="1:25" ht="29.25" customHeight="1">
      <c r="A40" s="386"/>
      <c r="B40" s="1539" t="s">
        <v>4316</v>
      </c>
      <c r="C40" s="1539"/>
      <c r="D40" s="1539"/>
      <c r="E40" s="1530" t="s">
        <v>369</v>
      </c>
      <c r="F40" s="1530"/>
      <c r="G40" s="1530"/>
      <c r="H40" s="1530">
        <v>1000</v>
      </c>
      <c r="I40" s="1530"/>
      <c r="J40" s="1530"/>
      <c r="K40" s="1530"/>
      <c r="L40" s="1877">
        <v>6.0000000000000001E-3</v>
      </c>
      <c r="M40" s="1877"/>
      <c r="N40" s="1877"/>
      <c r="O40" s="1877"/>
      <c r="P40" s="1877"/>
      <c r="Q40" s="1530" t="s">
        <v>4317</v>
      </c>
      <c r="R40" s="1530"/>
      <c r="S40" s="1530"/>
      <c r="T40" s="1530"/>
      <c r="U40" s="1530" t="s">
        <v>369</v>
      </c>
      <c r="V40" s="1530"/>
      <c r="W40" s="2701">
        <f>1.6*Belarus</f>
        <v>1.6</v>
      </c>
      <c r="X40" s="2701"/>
      <c r="Y40" s="2701"/>
    </row>
    <row r="41" spans="1:25" ht="28.5" customHeight="1">
      <c r="A41" s="386"/>
      <c r="B41" s="1539" t="s">
        <v>4318</v>
      </c>
      <c r="C41" s="1539"/>
      <c r="D41" s="1539"/>
      <c r="E41" s="1530"/>
      <c r="F41" s="1530"/>
      <c r="G41" s="1530"/>
      <c r="H41" s="1530">
        <v>1000</v>
      </c>
      <c r="I41" s="1530"/>
      <c r="J41" s="1530"/>
      <c r="K41" s="1530"/>
      <c r="L41" s="1877">
        <v>6.0000000000000001E-3</v>
      </c>
      <c r="M41" s="1877"/>
      <c r="N41" s="1877"/>
      <c r="O41" s="1877"/>
      <c r="P41" s="1877"/>
      <c r="Q41" s="1530"/>
      <c r="R41" s="1530"/>
      <c r="S41" s="1530"/>
      <c r="T41" s="1530"/>
      <c r="U41" s="1530" t="s">
        <v>369</v>
      </c>
      <c r="V41" s="1530"/>
      <c r="W41" s="2701">
        <f>1.7*Belarus</f>
        <v>1.7</v>
      </c>
      <c r="X41" s="2701"/>
      <c r="Y41" s="2701"/>
    </row>
    <row r="42" spans="1:25" ht="27.75" customHeight="1">
      <c r="A42" s="2702"/>
      <c r="B42" s="2703" t="s">
        <v>4319</v>
      </c>
      <c r="C42" s="2703"/>
      <c r="D42" s="2703"/>
      <c r="E42" s="1530"/>
      <c r="F42" s="1530"/>
      <c r="G42" s="1530"/>
      <c r="H42" s="1716">
        <v>250</v>
      </c>
      <c r="I42" s="1716"/>
      <c r="J42" s="1716"/>
      <c r="K42" s="1716"/>
      <c r="L42" s="2704">
        <v>6.0000000000000001E-3</v>
      </c>
      <c r="M42" s="2704"/>
      <c r="N42" s="2704"/>
      <c r="O42" s="2704"/>
      <c r="P42" s="2704"/>
      <c r="Q42" s="1530"/>
      <c r="R42" s="1530"/>
      <c r="S42" s="1530"/>
      <c r="T42" s="1530"/>
      <c r="U42" s="2705" t="s">
        <v>369</v>
      </c>
      <c r="V42" s="2705"/>
      <c r="W42" s="2701">
        <f>4*Belarus</f>
        <v>4</v>
      </c>
      <c r="X42" s="2701"/>
      <c r="Y42" s="2701"/>
    </row>
    <row r="43" spans="1:25" ht="16.5" customHeight="1">
      <c r="A43" s="2702"/>
      <c r="B43" s="2703" t="s">
        <v>4320</v>
      </c>
      <c r="C43" s="2703"/>
      <c r="D43" s="2703"/>
      <c r="E43" s="1530"/>
      <c r="F43" s="1530"/>
      <c r="G43" s="1530"/>
      <c r="H43" s="1716"/>
      <c r="I43" s="1716"/>
      <c r="J43" s="1716"/>
      <c r="K43" s="1716"/>
      <c r="L43" s="2704"/>
      <c r="M43" s="2704"/>
      <c r="N43" s="2704"/>
      <c r="O43" s="2704"/>
      <c r="P43" s="2704"/>
      <c r="Q43" s="1530"/>
      <c r="R43" s="1530"/>
      <c r="S43" s="1530"/>
      <c r="T43" s="1530"/>
      <c r="U43" s="2705"/>
      <c r="V43" s="2705"/>
      <c r="W43" s="2701">
        <f>4*Belarus</f>
        <v>4</v>
      </c>
      <c r="X43" s="2701"/>
      <c r="Y43" s="2701"/>
    </row>
    <row r="44" spans="1:25">
      <c r="A44" s="2623" t="s">
        <v>4321</v>
      </c>
      <c r="B44" s="2623"/>
      <c r="C44" s="2623"/>
      <c r="D44" s="2623"/>
      <c r="E44" s="2623"/>
      <c r="F44" s="2623"/>
      <c r="G44" s="2623"/>
      <c r="H44" s="2623"/>
      <c r="I44" s="2623"/>
      <c r="J44" s="2623"/>
      <c r="K44" s="2623"/>
      <c r="L44" s="2623"/>
      <c r="M44" s="2623"/>
      <c r="N44" s="2623"/>
      <c r="O44" s="2623"/>
      <c r="P44" s="2623"/>
      <c r="Q44" s="2623"/>
      <c r="R44" s="2623"/>
      <c r="S44" s="2623"/>
      <c r="T44" s="2623"/>
      <c r="U44" s="2623"/>
      <c r="V44" s="2623"/>
      <c r="W44" s="2623"/>
      <c r="X44" s="2623"/>
      <c r="Y44" s="2623"/>
    </row>
    <row r="45" spans="1:25">
      <c r="A45" s="2625" t="s">
        <v>4322</v>
      </c>
      <c r="B45" s="2625"/>
      <c r="C45" s="2625"/>
      <c r="D45" s="2625"/>
      <c r="E45" s="2625"/>
      <c r="F45" s="2625"/>
      <c r="G45" s="2625"/>
      <c r="H45" s="2625"/>
      <c r="I45" s="2625"/>
      <c r="J45" s="2625"/>
      <c r="K45" s="2625"/>
      <c r="L45" s="2625"/>
      <c r="M45" s="2625"/>
      <c r="N45" s="2625"/>
      <c r="O45" s="2625"/>
      <c r="P45" s="2625"/>
      <c r="Q45" s="2625"/>
      <c r="R45" s="2625"/>
      <c r="S45" s="2625"/>
      <c r="T45" s="2625"/>
      <c r="U45" s="2625"/>
      <c r="V45" s="2625"/>
      <c r="W45" s="2625"/>
      <c r="X45" s="2625"/>
      <c r="Y45" s="2625"/>
    </row>
    <row r="46" spans="1:25" ht="7.5" customHeight="1">
      <c r="A46" s="46"/>
      <c r="B46" s="46"/>
      <c r="C46" s="46"/>
      <c r="D46" s="46"/>
      <c r="E46" s="46"/>
      <c r="F46" s="46"/>
      <c r="G46" s="46"/>
      <c r="H46" s="46"/>
      <c r="I46" s="46"/>
      <c r="J46" s="46"/>
      <c r="K46" s="46"/>
      <c r="L46" s="46"/>
      <c r="M46" s="46"/>
      <c r="N46" s="46"/>
      <c r="O46" s="46"/>
      <c r="P46" s="46"/>
      <c r="Q46" s="46"/>
      <c r="R46" s="46"/>
      <c r="S46" s="46"/>
      <c r="T46" s="46"/>
      <c r="U46" s="46"/>
      <c r="V46" s="46"/>
      <c r="W46" s="46"/>
      <c r="X46" s="46"/>
      <c r="Y46" s="46"/>
    </row>
    <row r="47" spans="1:25">
      <c r="A47" s="565"/>
      <c r="B47" s="46"/>
      <c r="C47" s="46"/>
      <c r="D47" s="46"/>
      <c r="E47" s="46"/>
      <c r="F47" s="46"/>
      <c r="G47" s="46"/>
      <c r="H47" s="46"/>
      <c r="I47" s="46"/>
      <c r="J47" s="46"/>
      <c r="K47" s="46"/>
      <c r="L47" s="46"/>
      <c r="M47" s="46"/>
      <c r="N47" s="46"/>
      <c r="O47" s="46"/>
      <c r="P47" s="46"/>
      <c r="Q47" s="46"/>
      <c r="R47" s="46"/>
      <c r="S47" s="46"/>
      <c r="T47" s="46"/>
      <c r="U47" s="46"/>
      <c r="V47" s="46"/>
      <c r="W47" s="46"/>
      <c r="X47" s="46"/>
      <c r="Y47" s="46"/>
    </row>
    <row r="48" spans="1:25">
      <c r="A48" s="46"/>
      <c r="B48" s="46"/>
      <c r="C48" s="46"/>
      <c r="D48" s="46"/>
      <c r="E48" s="46"/>
      <c r="F48" s="46"/>
      <c r="G48" s="46"/>
      <c r="H48" s="46"/>
      <c r="I48" s="46"/>
      <c r="J48" s="46"/>
      <c r="K48" s="46"/>
      <c r="L48" s="46"/>
      <c r="M48" s="46"/>
      <c r="N48" s="46"/>
      <c r="O48" s="46"/>
      <c r="P48" s="46"/>
      <c r="Q48" s="46"/>
      <c r="R48" s="46"/>
      <c r="S48" s="46"/>
      <c r="T48" s="46"/>
      <c r="U48" s="46"/>
      <c r="V48" s="46"/>
      <c r="W48" s="46"/>
      <c r="X48" s="46"/>
      <c r="Y48" s="46"/>
    </row>
    <row r="49" spans="1:25">
      <c r="A49" s="46"/>
      <c r="B49" s="46"/>
      <c r="C49" s="46"/>
      <c r="D49" s="46"/>
      <c r="E49" s="46"/>
      <c r="F49" s="46"/>
      <c r="G49" s="46"/>
      <c r="H49" s="46"/>
      <c r="I49" s="46"/>
      <c r="J49" s="46"/>
      <c r="K49" s="46"/>
      <c r="L49" s="46"/>
      <c r="M49" s="46"/>
      <c r="N49" s="46"/>
      <c r="O49" s="46"/>
      <c r="P49" s="46"/>
      <c r="Q49" s="46"/>
      <c r="R49" s="46"/>
      <c r="S49" s="46"/>
      <c r="T49" s="46"/>
      <c r="U49" s="46"/>
      <c r="V49" s="46"/>
      <c r="W49" s="46"/>
      <c r="X49" s="46"/>
      <c r="Y49" s="46"/>
    </row>
    <row r="50" spans="1:25">
      <c r="A50" s="2519" t="s">
        <v>1835</v>
      </c>
      <c r="B50" s="2519"/>
      <c r="C50" s="2618">
        <v>0</v>
      </c>
      <c r="D50" s="46"/>
      <c r="E50" s="46"/>
      <c r="F50" s="46"/>
      <c r="G50" s="46"/>
      <c r="H50" s="46"/>
      <c r="I50" s="46"/>
      <c r="J50" s="46"/>
      <c r="K50" s="46"/>
      <c r="L50" s="46"/>
      <c r="M50" s="46"/>
      <c r="N50" s="46"/>
      <c r="O50" s="46"/>
      <c r="P50" s="46"/>
      <c r="Q50" s="46"/>
      <c r="R50" s="46"/>
      <c r="S50" s="46"/>
      <c r="T50" s="46"/>
      <c r="U50" s="46"/>
      <c r="V50" s="46"/>
      <c r="W50" s="46"/>
      <c r="X50" s="46"/>
      <c r="Y50" s="46"/>
    </row>
    <row r="51" spans="1:25">
      <c r="A51" s="2519"/>
      <c r="B51" s="2519"/>
      <c r="C51" s="2619"/>
      <c r="D51" s="46"/>
      <c r="E51" s="46"/>
      <c r="F51" s="46"/>
      <c r="G51" s="46"/>
      <c r="H51" s="46"/>
      <c r="I51" s="46"/>
      <c r="J51" s="46"/>
      <c r="K51" s="46"/>
      <c r="L51" s="46"/>
      <c r="M51" s="46"/>
      <c r="N51" s="46"/>
      <c r="O51" s="46"/>
      <c r="P51" s="46"/>
      <c r="Q51" s="46"/>
      <c r="R51" s="46"/>
      <c r="S51" s="46"/>
      <c r="T51" s="46"/>
      <c r="U51" s="46"/>
      <c r="V51" s="46"/>
      <c r="W51" s="46"/>
      <c r="X51" s="46"/>
      <c r="Y51" s="46"/>
    </row>
  </sheetData>
  <sheetProtection selectLockedCells="1" selectUnlockedCells="1"/>
  <mergeCells count="228">
    <mergeCell ref="A1:D1"/>
    <mergeCell ref="A2:V2"/>
    <mergeCell ref="A4:A5"/>
    <mergeCell ref="B4:B5"/>
    <mergeCell ref="C4:C5"/>
    <mergeCell ref="D4:G5"/>
    <mergeCell ref="H4:O4"/>
    <mergeCell ref="Q4:Q5"/>
    <mergeCell ref="R4:R5"/>
    <mergeCell ref="S4:S5"/>
    <mergeCell ref="X4:Y4"/>
    <mergeCell ref="X5:Y5"/>
    <mergeCell ref="Q6:W7"/>
    <mergeCell ref="A6:A9"/>
    <mergeCell ref="B6:B9"/>
    <mergeCell ref="C6:C9"/>
    <mergeCell ref="D6:G9"/>
    <mergeCell ref="H6:K6"/>
    <mergeCell ref="J8:K8"/>
    <mergeCell ref="L9:M9"/>
    <mergeCell ref="X6:Y6"/>
    <mergeCell ref="H7:O7"/>
    <mergeCell ref="A10:G11"/>
    <mergeCell ref="H10:O10"/>
    <mergeCell ref="S10:S11"/>
    <mergeCell ref="X10:X11"/>
    <mergeCell ref="Y10:Y11"/>
    <mergeCell ref="H11:K11"/>
    <mergeCell ref="L11:O11"/>
    <mergeCell ref="X8:X9"/>
    <mergeCell ref="T4:W5"/>
    <mergeCell ref="H5:O5"/>
    <mergeCell ref="H9:I9"/>
    <mergeCell ref="J9:K9"/>
    <mergeCell ref="N9:O9"/>
    <mergeCell ref="L6:O6"/>
    <mergeCell ref="H8:I8"/>
    <mergeCell ref="S8:S9"/>
    <mergeCell ref="N8:O8"/>
    <mergeCell ref="T8:W11"/>
    <mergeCell ref="Y8:Y9"/>
    <mergeCell ref="L8:M8"/>
    <mergeCell ref="Q8:Q11"/>
    <mergeCell ref="R8:R11"/>
    <mergeCell ref="A12:A13"/>
    <mergeCell ref="B12:B13"/>
    <mergeCell ref="D12:G13"/>
    <mergeCell ref="H12:K12"/>
    <mergeCell ref="L12:O12"/>
    <mergeCell ref="Q12:Q13"/>
    <mergeCell ref="R12:R13"/>
    <mergeCell ref="T12:W13"/>
    <mergeCell ref="H13:K13"/>
    <mergeCell ref="L13:O13"/>
    <mergeCell ref="A14:Y14"/>
    <mergeCell ref="B15:D15"/>
    <mergeCell ref="E15:G15"/>
    <mergeCell ref="H15:K15"/>
    <mergeCell ref="L15:P15"/>
    <mergeCell ref="Q15:T15"/>
    <mergeCell ref="U15:V15"/>
    <mergeCell ref="W15:Y15"/>
    <mergeCell ref="A16:A17"/>
    <mergeCell ref="B16:D17"/>
    <mergeCell ref="E16:G16"/>
    <mergeCell ref="H16:K16"/>
    <mergeCell ref="L16:P16"/>
    <mergeCell ref="Q16:T17"/>
    <mergeCell ref="U16:V17"/>
    <mergeCell ref="W16:Y16"/>
    <mergeCell ref="E17:G17"/>
    <mergeCell ref="H17:K17"/>
    <mergeCell ref="L17:P17"/>
    <mergeCell ref="W17:Y17"/>
    <mergeCell ref="A18:A20"/>
    <mergeCell ref="B18:D20"/>
    <mergeCell ref="E18:G19"/>
    <mergeCell ref="H18:K18"/>
    <mergeCell ref="L18:P18"/>
    <mergeCell ref="Q18:T18"/>
    <mergeCell ref="U18:V20"/>
    <mergeCell ref="W18:Y18"/>
    <mergeCell ref="H19:K19"/>
    <mergeCell ref="L19:P19"/>
    <mergeCell ref="Q19:T19"/>
    <mergeCell ref="W19:Y19"/>
    <mergeCell ref="E20:G20"/>
    <mergeCell ref="H20:K20"/>
    <mergeCell ref="L20:P20"/>
    <mergeCell ref="Q20:T20"/>
    <mergeCell ref="W20:Y20"/>
    <mergeCell ref="A21:A26"/>
    <mergeCell ref="B21:D22"/>
    <mergeCell ref="E21:G22"/>
    <mergeCell ref="H21:K22"/>
    <mergeCell ref="L21:P22"/>
    <mergeCell ref="Q21:T21"/>
    <mergeCell ref="U21:V22"/>
    <mergeCell ref="W21:Y21"/>
    <mergeCell ref="Q22:T22"/>
    <mergeCell ref="W22:Y22"/>
    <mergeCell ref="B23:D26"/>
    <mergeCell ref="E23:G24"/>
    <mergeCell ref="H23:K24"/>
    <mergeCell ref="L23:P24"/>
    <mergeCell ref="Q23:T23"/>
    <mergeCell ref="Q24:T24"/>
    <mergeCell ref="W24:Y24"/>
    <mergeCell ref="E25:G26"/>
    <mergeCell ref="H25:K26"/>
    <mergeCell ref="L25:P26"/>
    <mergeCell ref="Q25:T25"/>
    <mergeCell ref="W25:Y25"/>
    <mergeCell ref="Q26:T26"/>
    <mergeCell ref="W26:Y26"/>
    <mergeCell ref="B27:D27"/>
    <mergeCell ref="E27:G27"/>
    <mergeCell ref="H27:K27"/>
    <mergeCell ref="L27:P27"/>
    <mergeCell ref="Q27:T27"/>
    <mergeCell ref="U27:V27"/>
    <mergeCell ref="W27:Y27"/>
    <mergeCell ref="U23:V26"/>
    <mergeCell ref="W23:Y23"/>
    <mergeCell ref="B28:D28"/>
    <mergeCell ref="E28:G28"/>
    <mergeCell ref="H28:K28"/>
    <mergeCell ref="L28:P28"/>
    <mergeCell ref="Q28:T28"/>
    <mergeCell ref="U28:V28"/>
    <mergeCell ref="W28:Y28"/>
    <mergeCell ref="A29:A30"/>
    <mergeCell ref="B29:D30"/>
    <mergeCell ref="E29:G29"/>
    <mergeCell ref="H29:K29"/>
    <mergeCell ref="L29:P29"/>
    <mergeCell ref="Q29:T30"/>
    <mergeCell ref="U29:V30"/>
    <mergeCell ref="W29:Y29"/>
    <mergeCell ref="E30:G30"/>
    <mergeCell ref="H30:K30"/>
    <mergeCell ref="L30:P30"/>
    <mergeCell ref="W30:Y30"/>
    <mergeCell ref="A31:A32"/>
    <mergeCell ref="B31:C31"/>
    <mergeCell ref="D31:D32"/>
    <mergeCell ref="E31:G31"/>
    <mergeCell ref="H31:K31"/>
    <mergeCell ref="L31:P31"/>
    <mergeCell ref="Q31:T31"/>
    <mergeCell ref="U31:V31"/>
    <mergeCell ref="W31:Y31"/>
    <mergeCell ref="B32:C32"/>
    <mergeCell ref="E32:G32"/>
    <mergeCell ref="H32:K32"/>
    <mergeCell ref="L32:P32"/>
    <mergeCell ref="Q32:T32"/>
    <mergeCell ref="U32:V32"/>
    <mergeCell ref="W32:Y32"/>
    <mergeCell ref="A33:A34"/>
    <mergeCell ref="B33:D34"/>
    <mergeCell ref="E33:G34"/>
    <mergeCell ref="H33:K34"/>
    <mergeCell ref="L33:P34"/>
    <mergeCell ref="Q33:T33"/>
    <mergeCell ref="U33:V34"/>
    <mergeCell ref="W33:Y33"/>
    <mergeCell ref="Q34:T34"/>
    <mergeCell ref="W34:Y34"/>
    <mergeCell ref="B35:D35"/>
    <mergeCell ref="E35:G35"/>
    <mergeCell ref="H35:K35"/>
    <mergeCell ref="L35:P35"/>
    <mergeCell ref="Q35:T35"/>
    <mergeCell ref="U35:V35"/>
    <mergeCell ref="B36:D36"/>
    <mergeCell ref="E36:G36"/>
    <mergeCell ref="H36:K36"/>
    <mergeCell ref="L36:P36"/>
    <mergeCell ref="Q36:T36"/>
    <mergeCell ref="U36:V36"/>
    <mergeCell ref="E37:G37"/>
    <mergeCell ref="H37:K37"/>
    <mergeCell ref="L37:P37"/>
    <mergeCell ref="Q37:T37"/>
    <mergeCell ref="U37:V37"/>
    <mergeCell ref="W35:Y35"/>
    <mergeCell ref="W36:Y36"/>
    <mergeCell ref="U39:V39"/>
    <mergeCell ref="W37:Y37"/>
    <mergeCell ref="B38:D38"/>
    <mergeCell ref="E38:G38"/>
    <mergeCell ref="H38:K38"/>
    <mergeCell ref="L38:P38"/>
    <mergeCell ref="Q38:T38"/>
    <mergeCell ref="U38:V38"/>
    <mergeCell ref="W38:Y38"/>
    <mergeCell ref="B37:D37"/>
    <mergeCell ref="Q40:T43"/>
    <mergeCell ref="U40:V40"/>
    <mergeCell ref="W40:Y40"/>
    <mergeCell ref="B41:D41"/>
    <mergeCell ref="H41:K41"/>
    <mergeCell ref="B39:D39"/>
    <mergeCell ref="E39:G39"/>
    <mergeCell ref="H39:K39"/>
    <mergeCell ref="L39:P39"/>
    <mergeCell ref="Q39:T39"/>
    <mergeCell ref="H42:K43"/>
    <mergeCell ref="L42:P43"/>
    <mergeCell ref="U42:V43"/>
    <mergeCell ref="W42:Y42"/>
    <mergeCell ref="B43:D43"/>
    <mergeCell ref="W39:Y39"/>
    <mergeCell ref="B40:D40"/>
    <mergeCell ref="E40:G43"/>
    <mergeCell ref="H40:K40"/>
    <mergeCell ref="L40:P40"/>
    <mergeCell ref="W43:Y43"/>
    <mergeCell ref="A44:Y44"/>
    <mergeCell ref="A45:Y45"/>
    <mergeCell ref="A50:B51"/>
    <mergeCell ref="C50:C51"/>
    <mergeCell ref="L41:P41"/>
    <mergeCell ref="U41:V41"/>
    <mergeCell ref="W41:Y41"/>
    <mergeCell ref="A42:A43"/>
    <mergeCell ref="B42:D42"/>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52"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42</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pageSetUpPr fitToPage="1"/>
  </sheetPr>
  <dimension ref="A1:M40"/>
  <sheetViews>
    <sheetView zoomScale="70" zoomScaleNormal="70" zoomScaleSheetLayoutView="75" workbookViewId="0">
      <selection activeCell="A2" sqref="A2:F2"/>
    </sheetView>
  </sheetViews>
  <sheetFormatPr defaultRowHeight="15"/>
  <cols>
    <col min="1" max="1" width="28.85546875" style="1061" customWidth="1"/>
    <col min="2" max="2" width="24.5703125" style="1061" customWidth="1"/>
    <col min="3" max="3" width="12.85546875" style="1061" customWidth="1"/>
    <col min="4" max="4" width="14.140625" style="1061" customWidth="1"/>
    <col min="5" max="6" width="16" style="1061" customWidth="1"/>
    <col min="7" max="9" width="13.42578125" style="1061" customWidth="1"/>
    <col min="10" max="10" width="6.28515625" style="1061" customWidth="1"/>
    <col min="11" max="12" width="3" style="1061" customWidth="1"/>
    <col min="13" max="13" width="5.42578125" style="1061" customWidth="1"/>
    <col min="14" max="16384" width="9.140625" style="1061"/>
  </cols>
  <sheetData>
    <row r="1" spans="1:13" ht="12.75" customHeight="1">
      <c r="A1" s="1666" t="s">
        <v>312</v>
      </c>
      <c r="B1" s="1666"/>
      <c r="C1" s="1666"/>
      <c r="D1" s="1666"/>
      <c r="E1" s="46"/>
      <c r="F1" s="46"/>
      <c r="G1" s="46"/>
      <c r="H1" s="46"/>
      <c r="I1" s="46"/>
      <c r="J1" s="46"/>
      <c r="K1" s="46"/>
      <c r="L1" s="46"/>
      <c r="M1" s="46"/>
    </row>
    <row r="2" spans="1:13" ht="18" customHeight="1" thickBot="1">
      <c r="A2" s="2791" t="s">
        <v>2989</v>
      </c>
      <c r="B2" s="2791"/>
      <c r="C2" s="2791"/>
      <c r="D2" s="2791"/>
      <c r="E2" s="2791"/>
      <c r="F2" s="2791"/>
      <c r="G2" s="761"/>
      <c r="H2" s="761"/>
      <c r="I2" s="760" t="s">
        <v>313</v>
      </c>
      <c r="J2" s="2569">
        <v>43276</v>
      </c>
      <c r="K2" s="2569"/>
      <c r="L2" s="2569"/>
      <c r="M2" s="2569"/>
    </row>
    <row r="3" spans="1:13" ht="15" customHeight="1">
      <c r="A3" s="27"/>
      <c r="B3" s="27"/>
      <c r="C3" s="27"/>
      <c r="D3" s="27"/>
      <c r="E3" s="27"/>
      <c r="F3" s="27"/>
      <c r="G3" s="27"/>
      <c r="H3" s="27"/>
      <c r="I3" s="303" t="s">
        <v>804</v>
      </c>
      <c r="J3" s="2792">
        <v>43276</v>
      </c>
      <c r="K3" s="2792"/>
      <c r="L3" s="2792"/>
      <c r="M3" s="2792"/>
    </row>
    <row r="4" spans="1:13" ht="12.75" customHeight="1">
      <c r="A4" s="1717" t="s">
        <v>2990</v>
      </c>
      <c r="B4" s="1717"/>
      <c r="C4" s="1717"/>
      <c r="D4" s="1717"/>
      <c r="E4" s="1717"/>
      <c r="F4" s="1717"/>
      <c r="G4" s="1717"/>
      <c r="H4" s="1717"/>
      <c r="I4" s="1717"/>
      <c r="J4" s="1717"/>
      <c r="K4" s="1717"/>
      <c r="L4" s="1717"/>
      <c r="M4" s="1717"/>
    </row>
    <row r="5" spans="1:13" ht="25.5" customHeight="1">
      <c r="A5" s="548" t="s">
        <v>1452</v>
      </c>
      <c r="B5" s="548" t="s">
        <v>307</v>
      </c>
      <c r="C5" s="2646" t="s">
        <v>2991</v>
      </c>
      <c r="D5" s="2646"/>
      <c r="E5" s="2646"/>
      <c r="F5" s="2646"/>
      <c r="G5" s="548" t="s">
        <v>2992</v>
      </c>
      <c r="H5" s="548" t="s">
        <v>2917</v>
      </c>
      <c r="I5" s="548" t="s">
        <v>2918</v>
      </c>
      <c r="J5" s="2749" t="s">
        <v>2880</v>
      </c>
      <c r="K5" s="2749"/>
      <c r="L5" s="2749"/>
      <c r="M5" s="2749"/>
    </row>
    <row r="6" spans="1:13" ht="44.25" customHeight="1">
      <c r="A6" s="1618"/>
      <c r="B6" s="2629" t="s">
        <v>2990</v>
      </c>
      <c r="C6" s="2008" t="s">
        <v>2993</v>
      </c>
      <c r="D6" s="2008"/>
      <c r="E6" s="2008"/>
      <c r="F6" s="2008"/>
      <c r="G6" s="536" t="s">
        <v>2994</v>
      </c>
      <c r="H6" s="2770" t="s">
        <v>2886</v>
      </c>
      <c r="I6" s="2790" t="s">
        <v>2882</v>
      </c>
      <c r="J6" s="2658">
        <f>ROUND(1086*Belarus*(1-B40),2)</f>
        <v>1086</v>
      </c>
      <c r="K6" s="2658"/>
      <c r="L6" s="2658"/>
      <c r="M6" s="2658"/>
    </row>
    <row r="7" spans="1:13" ht="49.5" customHeight="1">
      <c r="A7" s="1618"/>
      <c r="B7" s="2629"/>
      <c r="C7" s="2008"/>
      <c r="D7" s="2008"/>
      <c r="E7" s="2008"/>
      <c r="F7" s="2008"/>
      <c r="G7" s="536" t="s">
        <v>2995</v>
      </c>
      <c r="H7" s="2770"/>
      <c r="I7" s="2790"/>
      <c r="J7" s="2658">
        <f>ROUND(1318*Belarus*(1-B40),2)</f>
        <v>1318</v>
      </c>
      <c r="K7" s="2658"/>
      <c r="L7" s="2658"/>
      <c r="M7" s="2658"/>
    </row>
    <row r="8" spans="1:13" ht="17.25" customHeight="1">
      <c r="A8" s="46"/>
      <c r="B8" s="46"/>
      <c r="C8" s="46"/>
      <c r="D8" s="46"/>
      <c r="E8" s="46"/>
      <c r="F8" s="46"/>
      <c r="G8" s="46"/>
      <c r="H8" s="46"/>
      <c r="I8" s="46"/>
      <c r="J8" s="46"/>
      <c r="K8" s="46"/>
      <c r="L8" s="46"/>
      <c r="M8" s="46"/>
    </row>
    <row r="9" spans="1:13">
      <c r="A9" s="1717" t="s">
        <v>5338</v>
      </c>
      <c r="B9" s="1717"/>
      <c r="C9" s="1717"/>
      <c r="D9" s="1717"/>
      <c r="E9" s="1717"/>
      <c r="F9" s="1717"/>
      <c r="G9" s="1717"/>
      <c r="H9" s="1717"/>
      <c r="I9" s="1717"/>
      <c r="J9" s="1717"/>
      <c r="K9" s="1717"/>
      <c r="L9" s="1717"/>
      <c r="M9" s="1717"/>
    </row>
    <row r="10" spans="1:13" ht="26.25" customHeight="1">
      <c r="A10" s="548" t="s">
        <v>1452</v>
      </c>
      <c r="B10" s="2646" t="s">
        <v>307</v>
      </c>
      <c r="C10" s="2646"/>
      <c r="D10" s="2646"/>
      <c r="E10" s="548" t="s">
        <v>2996</v>
      </c>
      <c r="F10" s="548" t="s">
        <v>2997</v>
      </c>
      <c r="G10" s="548" t="s">
        <v>2998</v>
      </c>
      <c r="H10" s="549" t="s">
        <v>2920</v>
      </c>
      <c r="I10" s="548" t="s">
        <v>2918</v>
      </c>
      <c r="J10" s="2749" t="s">
        <v>2921</v>
      </c>
      <c r="K10" s="2749"/>
      <c r="L10" s="2749"/>
      <c r="M10" s="2749"/>
    </row>
    <row r="11" spans="1:13" ht="15.75" customHeight="1">
      <c r="A11" s="2630"/>
      <c r="B11" s="2680" t="s">
        <v>5339</v>
      </c>
      <c r="C11" s="2778"/>
      <c r="D11" s="2779"/>
      <c r="E11" s="2786" t="s">
        <v>4103</v>
      </c>
      <c r="F11" s="536" t="s">
        <v>3000</v>
      </c>
      <c r="G11" s="539" t="s">
        <v>3001</v>
      </c>
      <c r="H11" s="566"/>
      <c r="I11" s="2789" t="s">
        <v>2882</v>
      </c>
      <c r="J11" s="2658">
        <f>ROUND(3800*Belarus*(1-B40),2)</f>
        <v>3800</v>
      </c>
      <c r="K11" s="2658"/>
      <c r="L11" s="2658"/>
      <c r="M11" s="2658"/>
    </row>
    <row r="12" spans="1:13" ht="15.75" customHeight="1">
      <c r="A12" s="2631"/>
      <c r="B12" s="2780"/>
      <c r="C12" s="2781"/>
      <c r="D12" s="2782"/>
      <c r="E12" s="2787"/>
      <c r="F12" s="536" t="s">
        <v>3002</v>
      </c>
      <c r="G12" s="539" t="s">
        <v>3001</v>
      </c>
      <c r="H12" s="566">
        <v>23.6</v>
      </c>
      <c r="I12" s="2789"/>
      <c r="J12" s="2776">
        <f>ROUND(5500*Belarus*(1-B40),2)</f>
        <v>5500</v>
      </c>
      <c r="K12" s="2776"/>
      <c r="L12" s="2776"/>
      <c r="M12" s="2776"/>
    </row>
    <row r="13" spans="1:13" ht="16.5" customHeight="1">
      <c r="A13" s="2631"/>
      <c r="B13" s="2780"/>
      <c r="C13" s="2781"/>
      <c r="D13" s="2782"/>
      <c r="E13" s="2787"/>
      <c r="F13" s="536" t="s">
        <v>3003</v>
      </c>
      <c r="G13" s="539" t="s">
        <v>3001</v>
      </c>
      <c r="H13" s="566">
        <v>28</v>
      </c>
      <c r="I13" s="2789"/>
      <c r="J13" s="2776">
        <f>ROUND(6550*Belarus*(1-B40),2)</f>
        <v>6550</v>
      </c>
      <c r="K13" s="2776"/>
      <c r="L13" s="2776"/>
      <c r="M13" s="2776"/>
    </row>
    <row r="14" spans="1:13" ht="18" customHeight="1">
      <c r="A14" s="2632"/>
      <c r="B14" s="2783"/>
      <c r="C14" s="2784"/>
      <c r="D14" s="2785"/>
      <c r="E14" s="2788"/>
      <c r="F14" s="536" t="s">
        <v>2999</v>
      </c>
      <c r="G14" s="539" t="s">
        <v>3001</v>
      </c>
      <c r="H14" s="566">
        <v>31.2</v>
      </c>
      <c r="I14" s="2789"/>
      <c r="J14" s="2776">
        <f>ROUND(7200*Belarus*(1-B40),2)</f>
        <v>7200</v>
      </c>
      <c r="K14" s="2776"/>
      <c r="L14" s="2776"/>
      <c r="M14" s="2776"/>
    </row>
    <row r="15" spans="1:13" ht="27.75" customHeight="1">
      <c r="A15" s="538"/>
      <c r="B15" s="2629" t="s">
        <v>3004</v>
      </c>
      <c r="C15" s="2629"/>
      <c r="D15" s="2629"/>
      <c r="E15" s="2777" t="s">
        <v>369</v>
      </c>
      <c r="F15" s="2777"/>
      <c r="G15" s="2777"/>
      <c r="H15" s="567" t="s">
        <v>369</v>
      </c>
      <c r="I15" s="566" t="s">
        <v>369</v>
      </c>
      <c r="J15" s="2658">
        <f>ROUND(24*Belarus*(1-B40),2)</f>
        <v>24</v>
      </c>
      <c r="K15" s="2658"/>
      <c r="L15" s="2658"/>
      <c r="M15" s="2658"/>
    </row>
    <row r="16" spans="1:13">
      <c r="A16" s="1717" t="s">
        <v>3005</v>
      </c>
      <c r="B16" s="1717"/>
      <c r="C16" s="1717"/>
      <c r="D16" s="1717"/>
      <c r="E16" s="1717"/>
      <c r="F16" s="1717"/>
      <c r="G16" s="1717"/>
      <c r="H16" s="1717"/>
      <c r="I16" s="1717"/>
      <c r="J16" s="1717"/>
      <c r="K16" s="1717"/>
      <c r="L16" s="1717"/>
      <c r="M16" s="1717"/>
    </row>
    <row r="17" spans="1:13" ht="24.75" customHeight="1">
      <c r="A17" s="324" t="s">
        <v>1071</v>
      </c>
      <c r="B17" s="1976" t="s">
        <v>307</v>
      </c>
      <c r="C17" s="1976"/>
      <c r="D17" s="1976"/>
      <c r="E17" s="324" t="s">
        <v>3006</v>
      </c>
      <c r="F17" s="324" t="s">
        <v>3007</v>
      </c>
      <c r="G17" s="1976" t="s">
        <v>2639</v>
      </c>
      <c r="H17" s="1976"/>
      <c r="I17" s="1976"/>
      <c r="J17" s="1976" t="s">
        <v>624</v>
      </c>
      <c r="K17" s="1976"/>
      <c r="L17" s="1976"/>
      <c r="M17" s="1976"/>
    </row>
    <row r="18" spans="1:13" ht="29.25" customHeight="1">
      <c r="A18" s="506"/>
      <c r="B18" s="2775" t="s">
        <v>3008</v>
      </c>
      <c r="C18" s="2775"/>
      <c r="D18" s="2775"/>
      <c r="E18" s="506" t="s">
        <v>3009</v>
      </c>
      <c r="F18" s="506" t="s">
        <v>3010</v>
      </c>
      <c r="G18" s="1530" t="s">
        <v>3011</v>
      </c>
      <c r="H18" s="1530"/>
      <c r="I18" s="1530"/>
      <c r="J18" s="1724">
        <f>1100*Belarus</f>
        <v>1100</v>
      </c>
      <c r="K18" s="1724"/>
      <c r="L18" s="1724"/>
      <c r="M18" s="1724"/>
    </row>
    <row r="19" spans="1:13" ht="15.75" customHeight="1">
      <c r="A19" s="46"/>
      <c r="B19" s="46"/>
      <c r="C19" s="46"/>
      <c r="D19" s="46"/>
      <c r="E19" s="46"/>
      <c r="F19" s="46"/>
      <c r="G19" s="46"/>
      <c r="H19" s="46"/>
      <c r="I19" s="46"/>
      <c r="J19" s="46"/>
      <c r="K19" s="46"/>
      <c r="L19" s="46"/>
      <c r="M19" s="46"/>
    </row>
    <row r="20" spans="1:13">
      <c r="A20" s="1717" t="s">
        <v>74</v>
      </c>
      <c r="B20" s="1717"/>
      <c r="C20" s="1717"/>
      <c r="D20" s="1717"/>
      <c r="E20" s="1717"/>
      <c r="F20" s="1717"/>
      <c r="G20" s="1717"/>
      <c r="H20" s="1717"/>
      <c r="I20" s="1717"/>
      <c r="J20" s="1717"/>
      <c r="K20" s="1717"/>
      <c r="L20" s="1717"/>
      <c r="M20" s="1717"/>
    </row>
    <row r="21" spans="1:13" ht="27" customHeight="1">
      <c r="A21" s="548" t="s">
        <v>1452</v>
      </c>
      <c r="B21" s="2646" t="s">
        <v>307</v>
      </c>
      <c r="C21" s="2646"/>
      <c r="D21" s="2646"/>
      <c r="E21" s="2646" t="s">
        <v>2917</v>
      </c>
      <c r="F21" s="2646"/>
      <c r="G21" s="548" t="s">
        <v>3012</v>
      </c>
      <c r="H21" s="549" t="s">
        <v>2794</v>
      </c>
      <c r="I21" s="548" t="s">
        <v>2918</v>
      </c>
      <c r="J21" s="2749" t="s">
        <v>2921</v>
      </c>
      <c r="K21" s="2749"/>
      <c r="L21" s="2749"/>
      <c r="M21" s="2749"/>
    </row>
    <row r="22" spans="1:13" ht="30.75" customHeight="1">
      <c r="A22" s="2651"/>
      <c r="B22" s="2651" t="s">
        <v>3013</v>
      </c>
      <c r="C22" s="2768" t="s">
        <v>3014</v>
      </c>
      <c r="D22" s="2769"/>
      <c r="E22" s="2768" t="s">
        <v>3015</v>
      </c>
      <c r="F22" s="2769"/>
      <c r="G22" s="535">
        <v>7</v>
      </c>
      <c r="H22" s="2652">
        <v>70</v>
      </c>
      <c r="I22" s="2772" t="s">
        <v>1510</v>
      </c>
      <c r="J22" s="2762">
        <f>ROUND(2562*Belarus*(1-B40),2)</f>
        <v>2562</v>
      </c>
      <c r="K22" s="2763"/>
      <c r="L22" s="2763"/>
      <c r="M22" s="2764"/>
    </row>
    <row r="23" spans="1:13" ht="30.75" customHeight="1">
      <c r="A23" s="2634"/>
      <c r="B23" s="2634"/>
      <c r="C23" s="2768" t="s">
        <v>3016</v>
      </c>
      <c r="D23" s="2769"/>
      <c r="E23" s="2768" t="s">
        <v>3017</v>
      </c>
      <c r="F23" s="2769"/>
      <c r="G23" s="535">
        <v>3.2</v>
      </c>
      <c r="H23" s="2771"/>
      <c r="I23" s="2773"/>
      <c r="J23" s="2765"/>
      <c r="K23" s="2766"/>
      <c r="L23" s="2766"/>
      <c r="M23" s="2767"/>
    </row>
    <row r="24" spans="1:13" ht="27" customHeight="1">
      <c r="A24" s="568"/>
      <c r="B24" s="2629" t="s">
        <v>3018</v>
      </c>
      <c r="C24" s="2629"/>
      <c r="D24" s="2629"/>
      <c r="E24" s="2770">
        <v>51</v>
      </c>
      <c r="F24" s="2770"/>
      <c r="G24" s="569">
        <v>0.13</v>
      </c>
      <c r="H24" s="675" t="s">
        <v>369</v>
      </c>
      <c r="I24" s="2774"/>
      <c r="J24" s="2658">
        <f>ROUND(70*Belarus*(1-B40),2)</f>
        <v>70</v>
      </c>
      <c r="K24" s="2658"/>
      <c r="L24" s="2658"/>
      <c r="M24" s="2658"/>
    </row>
    <row r="25" spans="1:13">
      <c r="A25" s="2754"/>
      <c r="B25" s="2629" t="s">
        <v>3019</v>
      </c>
      <c r="C25" s="2629"/>
      <c r="D25" s="2629"/>
      <c r="E25" s="2756" t="s">
        <v>3020</v>
      </c>
      <c r="F25" s="2757"/>
      <c r="G25" s="569">
        <v>31</v>
      </c>
      <c r="H25" s="2760">
        <v>36</v>
      </c>
      <c r="I25" s="2760" t="s">
        <v>369</v>
      </c>
      <c r="J25" s="2658">
        <f>ROUND(595*Belarus*(1-B40),2)</f>
        <v>595</v>
      </c>
      <c r="K25" s="2658"/>
      <c r="L25" s="2658"/>
      <c r="M25" s="2658"/>
    </row>
    <row r="26" spans="1:13">
      <c r="A26" s="2755"/>
      <c r="B26" s="2641" t="s">
        <v>4329</v>
      </c>
      <c r="C26" s="2641"/>
      <c r="D26" s="2641"/>
      <c r="E26" s="2758"/>
      <c r="F26" s="2759"/>
      <c r="G26" s="569">
        <v>23</v>
      </c>
      <c r="H26" s="2761"/>
      <c r="I26" s="2761"/>
      <c r="J26" s="2658">
        <f>ROUND(550*Belarus*(1-B40),2)</f>
        <v>550</v>
      </c>
      <c r="K26" s="2658"/>
      <c r="L26" s="2658"/>
      <c r="M26" s="2658"/>
    </row>
    <row r="27" spans="1:13">
      <c r="A27" s="570" t="s">
        <v>3021</v>
      </c>
      <c r="B27" s="571"/>
      <c r="C27" s="571"/>
      <c r="D27" s="571"/>
      <c r="E27" s="572"/>
      <c r="F27" s="545"/>
      <c r="G27" s="23"/>
      <c r="H27" s="23"/>
      <c r="I27" s="573"/>
      <c r="J27" s="573"/>
      <c r="K27" s="573"/>
      <c r="L27" s="573"/>
      <c r="M27" s="573"/>
    </row>
    <row r="28" spans="1:13">
      <c r="A28" s="501"/>
      <c r="B28" s="501"/>
      <c r="C28" s="501"/>
      <c r="D28" s="501"/>
      <c r="E28" s="501"/>
      <c r="F28" s="501"/>
      <c r="G28" s="501"/>
      <c r="H28" s="501"/>
      <c r="I28" s="501"/>
      <c r="J28" s="501"/>
      <c r="K28" s="501"/>
      <c r="L28" s="501"/>
      <c r="M28" s="501"/>
    </row>
    <row r="29" spans="1:13" ht="27.75" customHeight="1">
      <c r="A29" s="548" t="s">
        <v>1452</v>
      </c>
      <c r="B29" s="2646" t="s">
        <v>307</v>
      </c>
      <c r="C29" s="2646"/>
      <c r="D29" s="2646"/>
      <c r="E29" s="548" t="s">
        <v>3022</v>
      </c>
      <c r="F29" s="548" t="s">
        <v>2920</v>
      </c>
      <c r="G29" s="2646" t="s">
        <v>2876</v>
      </c>
      <c r="H29" s="2646"/>
      <c r="I29" s="2749" t="s">
        <v>2921</v>
      </c>
      <c r="J29" s="2749"/>
      <c r="K29" s="2749"/>
      <c r="L29" s="2749"/>
      <c r="M29" s="2749"/>
    </row>
    <row r="30" spans="1:13" ht="27.75" customHeight="1">
      <c r="A30" s="568"/>
      <c r="B30" s="2629" t="s">
        <v>3023</v>
      </c>
      <c r="C30" s="2629"/>
      <c r="D30" s="2629"/>
      <c r="E30" s="537" t="s">
        <v>3024</v>
      </c>
      <c r="F30" s="538">
        <v>5.6</v>
      </c>
      <c r="G30" s="2233" t="s">
        <v>3025</v>
      </c>
      <c r="H30" s="2233"/>
      <c r="I30" s="2750" t="str">
        <f>ROUND(350*Belarus*(1-D40),2)&amp; " (НН)"</f>
        <v>350 (НН)</v>
      </c>
      <c r="J30" s="2750"/>
      <c r="K30" s="2750"/>
      <c r="L30" s="2750"/>
      <c r="M30" s="2750"/>
    </row>
    <row r="31" spans="1:13" ht="24" customHeight="1">
      <c r="A31" s="568"/>
      <c r="B31" s="2629" t="s">
        <v>3023</v>
      </c>
      <c r="C31" s="2629"/>
      <c r="D31" s="2629"/>
      <c r="E31" s="537" t="s">
        <v>3026</v>
      </c>
      <c r="F31" s="538">
        <v>11.2</v>
      </c>
      <c r="G31" s="2233"/>
      <c r="H31" s="2233"/>
      <c r="I31" s="2751" t="str">
        <f>ROUND(650*Belarus*(1-D40),2)&amp; " (НН)"</f>
        <v>650 (НН)</v>
      </c>
      <c r="J31" s="2752"/>
      <c r="K31" s="2752"/>
      <c r="L31" s="2752"/>
      <c r="M31" s="2753"/>
    </row>
    <row r="32" spans="1:13" ht="25.5" customHeight="1">
      <c r="A32" s="536"/>
      <c r="B32" s="2629" t="s">
        <v>3027</v>
      </c>
      <c r="C32" s="2629"/>
      <c r="D32" s="2629"/>
      <c r="E32" s="537" t="s">
        <v>3028</v>
      </c>
      <c r="F32" s="538" t="s">
        <v>369</v>
      </c>
      <c r="G32" s="2233" t="s">
        <v>3029</v>
      </c>
      <c r="H32" s="2233"/>
      <c r="I32" s="2746" t="str">
        <f>ROUND(40*Belarus*(1-D40),2)&amp; " (НН)"</f>
        <v>40 (НН)</v>
      </c>
      <c r="J32" s="2747"/>
      <c r="K32" s="2747"/>
      <c r="L32" s="2747"/>
      <c r="M32" s="2748"/>
    </row>
    <row r="33" spans="1:13">
      <c r="A33" s="46" t="s">
        <v>3030</v>
      </c>
      <c r="B33" s="501"/>
      <c r="C33" s="501"/>
      <c r="D33" s="501"/>
      <c r="E33" s="501"/>
      <c r="F33" s="501"/>
      <c r="G33" s="501"/>
      <c r="H33" s="501"/>
      <c r="I33" s="501"/>
      <c r="J33" s="501"/>
      <c r="K33" s="501"/>
      <c r="L33" s="501"/>
      <c r="M33" s="501"/>
    </row>
    <row r="34" spans="1:13">
      <c r="A34" s="46"/>
      <c r="B34" s="46"/>
      <c r="C34" s="46"/>
      <c r="D34" s="46"/>
      <c r="E34" s="46"/>
      <c r="F34" s="46"/>
      <c r="G34" s="46"/>
      <c r="H34" s="46"/>
      <c r="I34" s="46"/>
      <c r="J34" s="46"/>
      <c r="K34" s="46"/>
      <c r="L34" s="46"/>
      <c r="M34" s="46"/>
    </row>
    <row r="35" spans="1:13">
      <c r="A35" s="565" t="s">
        <v>2106</v>
      </c>
      <c r="B35" s="46"/>
      <c r="C35" s="46"/>
      <c r="D35" s="46"/>
      <c r="E35" s="46"/>
      <c r="F35" s="46"/>
      <c r="G35" s="46"/>
      <c r="H35" s="46"/>
      <c r="I35" s="46"/>
      <c r="J35" s="46"/>
      <c r="K35" s="46"/>
      <c r="L35" s="46"/>
      <c r="M35" s="46"/>
    </row>
    <row r="36" spans="1:13">
      <c r="A36" s="46"/>
      <c r="B36" s="46"/>
      <c r="C36" s="46"/>
      <c r="D36" s="46"/>
      <c r="E36" s="46"/>
      <c r="F36" s="46"/>
      <c r="G36" s="46"/>
      <c r="H36" s="46"/>
      <c r="I36" s="46"/>
      <c r="J36" s="46"/>
      <c r="K36" s="46"/>
      <c r="L36" s="46"/>
      <c r="M36" s="46"/>
    </row>
    <row r="37" spans="1:13">
      <c r="A37" s="46"/>
      <c r="B37" s="46"/>
      <c r="C37" s="46"/>
      <c r="D37" s="46"/>
      <c r="E37" s="46"/>
      <c r="F37" s="46"/>
      <c r="G37" s="46"/>
      <c r="H37" s="46"/>
      <c r="I37" s="46"/>
      <c r="J37" s="46"/>
      <c r="K37" s="46"/>
      <c r="L37" s="46"/>
      <c r="M37" s="46"/>
    </row>
    <row r="38" spans="1:13">
      <c r="A38" s="2519" t="s">
        <v>1835</v>
      </c>
      <c r="B38" s="2522" t="s">
        <v>3031</v>
      </c>
      <c r="C38" s="2522"/>
      <c r="D38" s="2522" t="s">
        <v>3032</v>
      </c>
      <c r="E38" s="2522"/>
      <c r="F38" s="46"/>
      <c r="G38" s="46"/>
      <c r="H38" s="46"/>
      <c r="I38" s="46"/>
      <c r="J38" s="46"/>
      <c r="K38" s="46"/>
      <c r="L38" s="46"/>
      <c r="M38" s="46"/>
    </row>
    <row r="39" spans="1:13">
      <c r="A39" s="2519"/>
      <c r="B39" s="2522"/>
      <c r="C39" s="2522"/>
      <c r="D39" s="2522"/>
      <c r="E39" s="2522"/>
      <c r="F39" s="46"/>
      <c r="G39" s="46"/>
      <c r="H39" s="46"/>
      <c r="I39" s="46"/>
      <c r="J39" s="46"/>
      <c r="K39" s="46"/>
      <c r="L39" s="46"/>
      <c r="M39" s="46"/>
    </row>
    <row r="40" spans="1:13">
      <c r="A40" s="2519"/>
      <c r="B40" s="2195">
        <v>0</v>
      </c>
      <c r="C40" s="2195"/>
      <c r="D40" s="2195">
        <v>0</v>
      </c>
      <c r="E40" s="2195"/>
      <c r="F40" s="46"/>
      <c r="G40" s="46"/>
      <c r="H40" s="46"/>
      <c r="I40" s="46"/>
      <c r="J40" s="46"/>
      <c r="K40" s="46"/>
      <c r="L40" s="46"/>
      <c r="M40" s="46"/>
    </row>
  </sheetData>
  <sheetProtection selectLockedCells="1" selectUnlockedCells="1"/>
  <mergeCells count="75">
    <mergeCell ref="A1:D1"/>
    <mergeCell ref="A2:F2"/>
    <mergeCell ref="J2:M2"/>
    <mergeCell ref="J3:M3"/>
    <mergeCell ref="A4:M4"/>
    <mergeCell ref="C5:F5"/>
    <mergeCell ref="J5:M5"/>
    <mergeCell ref="A6:A7"/>
    <mergeCell ref="B6:B7"/>
    <mergeCell ref="C6:F7"/>
    <mergeCell ref="H6:H7"/>
    <mergeCell ref="I6:I7"/>
    <mergeCell ref="J6:M6"/>
    <mergeCell ref="J7:M7"/>
    <mergeCell ref="A9:M9"/>
    <mergeCell ref="B10:D10"/>
    <mergeCell ref="J10:M10"/>
    <mergeCell ref="A11:A14"/>
    <mergeCell ref="B11:D14"/>
    <mergeCell ref="E11:E14"/>
    <mergeCell ref="I11:I14"/>
    <mergeCell ref="J11:M11"/>
    <mergeCell ref="J12:M12"/>
    <mergeCell ref="J13:M13"/>
    <mergeCell ref="J14:M14"/>
    <mergeCell ref="B15:D15"/>
    <mergeCell ref="E15:G15"/>
    <mergeCell ref="J15:M15"/>
    <mergeCell ref="A16:M16"/>
    <mergeCell ref="B17:D17"/>
    <mergeCell ref="G17:I17"/>
    <mergeCell ref="J17:M17"/>
    <mergeCell ref="B18:D18"/>
    <mergeCell ref="G18:I18"/>
    <mergeCell ref="J18:M18"/>
    <mergeCell ref="A20:M20"/>
    <mergeCell ref="B21:D21"/>
    <mergeCell ref="E21:F21"/>
    <mergeCell ref="J21:M21"/>
    <mergeCell ref="A22:A23"/>
    <mergeCell ref="B22:B23"/>
    <mergeCell ref="C22:D22"/>
    <mergeCell ref="E22:F22"/>
    <mergeCell ref="H22:H23"/>
    <mergeCell ref="I22:I24"/>
    <mergeCell ref="J22:M23"/>
    <mergeCell ref="C23:D23"/>
    <mergeCell ref="E23:F23"/>
    <mergeCell ref="B24:D24"/>
    <mergeCell ref="E24:F24"/>
    <mergeCell ref="J24:M24"/>
    <mergeCell ref="A25:A26"/>
    <mergeCell ref="B25:D25"/>
    <mergeCell ref="E25:F26"/>
    <mergeCell ref="H25:H26"/>
    <mergeCell ref="I25:I26"/>
    <mergeCell ref="J25:M25"/>
    <mergeCell ref="B26:D26"/>
    <mergeCell ref="J26:M26"/>
    <mergeCell ref="B29:D29"/>
    <mergeCell ref="G29:H29"/>
    <mergeCell ref="I29:M29"/>
    <mergeCell ref="B30:D30"/>
    <mergeCell ref="G30:H31"/>
    <mergeCell ref="I30:M30"/>
    <mergeCell ref="B31:D31"/>
    <mergeCell ref="I31:M31"/>
    <mergeCell ref="B32:D32"/>
    <mergeCell ref="G32:H32"/>
    <mergeCell ref="I32:M32"/>
    <mergeCell ref="A38:A40"/>
    <mergeCell ref="B38:C39"/>
    <mergeCell ref="D38:E39"/>
    <mergeCell ref="B40:C40"/>
    <mergeCell ref="D40:E40"/>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75"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43</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pageSetUpPr fitToPage="1"/>
  </sheetPr>
  <dimension ref="A1:S37"/>
  <sheetViews>
    <sheetView zoomScale="70" zoomScaleNormal="70" zoomScaleSheetLayoutView="75" workbookViewId="0">
      <selection activeCell="A3" sqref="A3:S3"/>
    </sheetView>
  </sheetViews>
  <sheetFormatPr defaultRowHeight="15"/>
  <cols>
    <col min="1" max="1" width="26.85546875" style="1061" customWidth="1"/>
    <col min="2" max="2" width="16.140625" style="1061" customWidth="1"/>
    <col min="3" max="3" width="13.140625" style="1061" customWidth="1"/>
    <col min="4" max="4" width="9.28515625" style="1061" customWidth="1"/>
    <col min="5" max="5" width="10.7109375" style="1061" customWidth="1"/>
    <col min="6" max="6" width="11.7109375" style="1061" customWidth="1"/>
    <col min="7" max="7" width="9.140625" style="1061" customWidth="1"/>
    <col min="8" max="8" width="11" style="1061" customWidth="1"/>
    <col min="9" max="9" width="23.140625" style="1061" customWidth="1"/>
    <col min="10" max="10" width="3.5703125" style="1061" customWidth="1"/>
    <col min="11" max="11" width="26.28515625" style="1061" customWidth="1"/>
    <col min="12" max="12" width="16" style="1061" customWidth="1"/>
    <col min="13" max="13" width="14.5703125" style="1061" customWidth="1"/>
    <col min="14" max="14" width="9.140625" style="1061" customWidth="1"/>
    <col min="15" max="15" width="9.85546875" style="1061" customWidth="1"/>
    <col min="16" max="16" width="10.140625" style="1061" customWidth="1"/>
    <col min="17" max="18" width="8.42578125" style="1061" customWidth="1"/>
    <col min="19" max="19" width="21.140625" style="1061" customWidth="1"/>
    <col min="20" max="16384" width="9.140625" style="1061"/>
  </cols>
  <sheetData>
    <row r="1" spans="1:19" ht="12.75" customHeight="1">
      <c r="A1" s="1903" t="s">
        <v>312</v>
      </c>
      <c r="B1" s="1903"/>
      <c r="C1" s="1903"/>
      <c r="D1" s="1903"/>
      <c r="E1" s="46"/>
      <c r="F1" s="46"/>
      <c r="G1" s="46"/>
      <c r="H1" s="46"/>
      <c r="I1" s="46"/>
      <c r="J1" s="46"/>
      <c r="K1" s="46"/>
      <c r="L1" s="46"/>
      <c r="M1" s="46"/>
      <c r="N1" s="46"/>
      <c r="O1" s="46"/>
      <c r="P1" s="46"/>
      <c r="Q1" s="46"/>
      <c r="R1" s="46"/>
      <c r="S1" s="46"/>
    </row>
    <row r="2" spans="1:19" ht="13.5" customHeight="1">
      <c r="A2" s="190"/>
      <c r="B2" s="434"/>
      <c r="C2" s="1"/>
      <c r="D2" s="1"/>
      <c r="E2" s="1"/>
      <c r="F2" s="1"/>
      <c r="G2" s="1"/>
      <c r="H2" s="46"/>
      <c r="I2" s="46"/>
      <c r="J2" s="1"/>
      <c r="K2" s="1"/>
      <c r="L2" s="1"/>
      <c r="M2" s="1"/>
      <c r="N2" s="1"/>
      <c r="O2" s="1"/>
      <c r="P2" s="1"/>
      <c r="R2" s="667" t="s">
        <v>313</v>
      </c>
      <c r="S2" s="36">
        <v>43244</v>
      </c>
    </row>
    <row r="3" spans="1:19" ht="18" customHeight="1" thickBot="1">
      <c r="A3" s="2791" t="s">
        <v>3033</v>
      </c>
      <c r="B3" s="2791"/>
      <c r="C3" s="2791"/>
      <c r="D3" s="2791"/>
      <c r="E3" s="2791"/>
      <c r="F3" s="2791"/>
      <c r="G3" s="2791"/>
      <c r="H3" s="2791"/>
      <c r="I3" s="2791"/>
      <c r="J3" s="2791"/>
      <c r="K3" s="2791"/>
      <c r="L3" s="2791"/>
      <c r="M3" s="2791"/>
      <c r="N3" s="2791"/>
      <c r="O3" s="2791"/>
      <c r="P3" s="2791"/>
      <c r="Q3" s="2791"/>
      <c r="R3" s="2791"/>
      <c r="S3" s="2791"/>
    </row>
    <row r="4" spans="1:19">
      <c r="A4" s="27"/>
      <c r="B4" s="27"/>
      <c r="C4" s="27"/>
      <c r="D4" s="27"/>
      <c r="E4" s="27"/>
      <c r="F4" s="27"/>
      <c r="G4" s="27"/>
      <c r="J4" s="1"/>
      <c r="K4" s="130"/>
      <c r="L4" s="130"/>
      <c r="M4" s="130"/>
      <c r="N4" s="130"/>
      <c r="O4" s="130"/>
      <c r="P4" s="130"/>
      <c r="Q4" s="46"/>
      <c r="R4" s="303" t="s">
        <v>804</v>
      </c>
      <c r="S4" s="574">
        <v>43244</v>
      </c>
    </row>
    <row r="5" spans="1:19">
      <c r="A5" s="1352" t="s">
        <v>1452</v>
      </c>
      <c r="B5" s="1398" t="s">
        <v>3034</v>
      </c>
      <c r="C5" s="2033" t="s">
        <v>2992</v>
      </c>
      <c r="D5" s="1398" t="s">
        <v>3035</v>
      </c>
      <c r="E5" s="1353" t="s">
        <v>3036</v>
      </c>
      <c r="F5" s="1354"/>
      <c r="G5" s="1398" t="s">
        <v>3037</v>
      </c>
      <c r="H5" s="1398"/>
      <c r="I5" s="1398" t="s">
        <v>3038</v>
      </c>
      <c r="J5" s="46"/>
      <c r="K5" s="1352" t="s">
        <v>1452</v>
      </c>
      <c r="L5" s="1398" t="s">
        <v>3034</v>
      </c>
      <c r="M5" s="2033" t="s">
        <v>2992</v>
      </c>
      <c r="N5" s="1398" t="s">
        <v>3035</v>
      </c>
      <c r="O5" s="1352" t="s">
        <v>3036</v>
      </c>
      <c r="P5" s="1352"/>
      <c r="Q5" s="1398" t="s">
        <v>3048</v>
      </c>
      <c r="R5" s="1398"/>
      <c r="S5" s="1352" t="s">
        <v>3038</v>
      </c>
    </row>
    <row r="6" spans="1:19">
      <c r="A6" s="1352"/>
      <c r="B6" s="1398"/>
      <c r="C6" s="2034"/>
      <c r="D6" s="1398"/>
      <c r="E6" s="131">
        <v>4</v>
      </c>
      <c r="F6" s="131">
        <v>6</v>
      </c>
      <c r="G6" s="1398"/>
      <c r="H6" s="1398"/>
      <c r="I6" s="1398"/>
      <c r="J6" s="46"/>
      <c r="K6" s="1352"/>
      <c r="L6" s="1398"/>
      <c r="M6" s="2034"/>
      <c r="N6" s="1398"/>
      <c r="O6" s="131">
        <v>3.5</v>
      </c>
      <c r="P6" s="131">
        <v>4.5</v>
      </c>
      <c r="Q6" s="1398"/>
      <c r="R6" s="1398"/>
      <c r="S6" s="1352"/>
    </row>
    <row r="7" spans="1:19" ht="65.25" customHeight="1">
      <c r="A7" s="1580"/>
      <c r="B7" s="1281" t="s">
        <v>3041</v>
      </c>
      <c r="C7" s="1281" t="s">
        <v>3042</v>
      </c>
      <c r="D7" s="1891">
        <v>2.0299999999999998</v>
      </c>
      <c r="E7" s="679">
        <f>ROUND(80328*Belarus*(1-C31),2)</f>
        <v>80328</v>
      </c>
      <c r="F7" s="679">
        <f>ROUND(141754*Belarus*(1-C31),2)</f>
        <v>141754</v>
      </c>
      <c r="G7" s="1716" t="s">
        <v>3043</v>
      </c>
      <c r="H7" s="1716"/>
      <c r="I7" s="1716" t="s">
        <v>3044</v>
      </c>
      <c r="J7" s="46"/>
      <c r="K7" s="1580"/>
      <c r="L7" s="101" t="s">
        <v>3049</v>
      </c>
      <c r="M7" s="1530" t="s">
        <v>2987</v>
      </c>
      <c r="N7" s="285">
        <v>2</v>
      </c>
      <c r="O7" s="679">
        <f>ROUND(65118*Belarus*(1-C31),2)</f>
        <v>65118</v>
      </c>
      <c r="P7" s="679">
        <f>ROUND(83723*Belarus*(1-C31),2)</f>
        <v>83723</v>
      </c>
      <c r="Q7" s="1716" t="s">
        <v>3050</v>
      </c>
      <c r="R7" s="1716"/>
      <c r="S7" s="1716" t="s">
        <v>3051</v>
      </c>
    </row>
    <row r="8" spans="1:19" ht="13.5" customHeight="1">
      <c r="A8" s="1580"/>
      <c r="B8" s="1281"/>
      <c r="C8" s="1281"/>
      <c r="D8" s="1892"/>
      <c r="E8" s="1514" t="s">
        <v>3045</v>
      </c>
      <c r="F8" s="1515"/>
      <c r="G8" s="1716"/>
      <c r="H8" s="1716"/>
      <c r="I8" s="1716"/>
      <c r="J8" s="46"/>
      <c r="K8" s="1580"/>
      <c r="L8" s="1281" t="s">
        <v>3052</v>
      </c>
      <c r="M8" s="1530"/>
      <c r="N8" s="2800">
        <v>2</v>
      </c>
      <c r="O8" s="1724">
        <f>ROUND(74421*Belarus*(1-C31),2)</f>
        <v>74421</v>
      </c>
      <c r="P8" s="1724">
        <f>ROUND(95684*Belarus*(1-C31),2)</f>
        <v>95684</v>
      </c>
      <c r="Q8" s="1716"/>
      <c r="R8" s="1716"/>
      <c r="S8" s="1716"/>
    </row>
    <row r="9" spans="1:19" ht="45.75" customHeight="1">
      <c r="A9" s="1580"/>
      <c r="B9" s="1281"/>
      <c r="C9" s="1281"/>
      <c r="D9" s="1893"/>
      <c r="E9" s="163" t="s">
        <v>3046</v>
      </c>
      <c r="F9" s="163" t="s">
        <v>3046</v>
      </c>
      <c r="G9" s="1716"/>
      <c r="H9" s="1716"/>
      <c r="I9" s="1716"/>
      <c r="J9" s="46"/>
      <c r="K9" s="1580"/>
      <c r="L9" s="1281"/>
      <c r="M9" s="1530"/>
      <c r="N9" s="2800"/>
      <c r="O9" s="1724"/>
      <c r="P9" s="1724"/>
      <c r="Q9" s="1716"/>
      <c r="R9" s="1716"/>
      <c r="S9" s="1716"/>
    </row>
    <row r="10" spans="1:19" ht="11.25" customHeight="1">
      <c r="A10" s="575" t="s">
        <v>3047</v>
      </c>
      <c r="B10" s="46"/>
      <c r="C10" s="46"/>
      <c r="D10" s="46"/>
      <c r="E10" s="46"/>
      <c r="F10" s="46"/>
      <c r="G10" s="46"/>
      <c r="H10" s="46"/>
      <c r="I10" s="46"/>
      <c r="J10" s="46"/>
      <c r="K10" s="579"/>
      <c r="L10" s="125"/>
      <c r="M10" s="125"/>
      <c r="N10" s="125"/>
      <c r="O10" s="125"/>
      <c r="P10" s="125"/>
      <c r="Q10" s="125"/>
      <c r="R10" s="125"/>
      <c r="S10" s="1068"/>
    </row>
    <row r="11" spans="1:19" ht="12.75" customHeight="1">
      <c r="J11" s="46"/>
      <c r="K11" s="579"/>
      <c r="L11" s="125"/>
      <c r="M11" s="125"/>
      <c r="N11" s="125"/>
      <c r="O11" s="125"/>
      <c r="P11" s="125"/>
      <c r="Q11" s="125"/>
      <c r="R11" s="125"/>
      <c r="S11" s="1068"/>
    </row>
    <row r="12" spans="1:19" ht="12.75" customHeight="1">
      <c r="A12" s="576"/>
      <c r="B12" s="576"/>
      <c r="C12" s="576"/>
      <c r="D12" s="576"/>
      <c r="E12" s="466"/>
      <c r="F12" s="470"/>
      <c r="G12" s="466"/>
      <c r="H12" s="576"/>
      <c r="I12" s="576"/>
      <c r="J12" s="46"/>
      <c r="K12" s="108"/>
      <c r="L12" s="108"/>
      <c r="M12" s="108"/>
      <c r="N12" s="108"/>
      <c r="O12" s="108"/>
      <c r="P12" s="108"/>
      <c r="Q12" s="108"/>
      <c r="R12" s="108"/>
      <c r="S12" s="108"/>
    </row>
    <row r="13" spans="1:19" ht="12.75" customHeight="1">
      <c r="A13" s="1630" t="s">
        <v>3053</v>
      </c>
      <c r="B13" s="1630"/>
      <c r="C13" s="1630"/>
      <c r="D13" s="1630"/>
      <c r="E13" s="1630"/>
      <c r="F13" s="1630"/>
      <c r="G13" s="1630"/>
      <c r="H13" s="1630"/>
      <c r="I13" s="126" t="s">
        <v>3054</v>
      </c>
      <c r="J13" s="46"/>
      <c r="K13" s="2799" t="s">
        <v>3070</v>
      </c>
      <c r="L13" s="2799"/>
      <c r="M13" s="1630"/>
      <c r="N13" s="2799"/>
      <c r="O13" s="2799"/>
      <c r="P13" s="2799"/>
      <c r="Q13" s="2799"/>
      <c r="R13" s="2799"/>
      <c r="S13" s="321" t="s">
        <v>624</v>
      </c>
    </row>
    <row r="14" spans="1:19" ht="91.5" customHeight="1">
      <c r="A14" s="1332" t="s">
        <v>3055</v>
      </c>
      <c r="B14" s="1332"/>
      <c r="C14" s="1332"/>
      <c r="D14" s="1332"/>
      <c r="E14" s="1332"/>
      <c r="F14" s="1332"/>
      <c r="G14" s="1332"/>
      <c r="H14" s="1332"/>
      <c r="I14" s="679">
        <f>ROUND(31432*Belarus*(1-C31),2)</f>
        <v>31432</v>
      </c>
      <c r="J14" s="46"/>
      <c r="K14" s="183" t="s">
        <v>3071</v>
      </c>
      <c r="L14" s="183"/>
      <c r="M14" s="577" t="s">
        <v>3072</v>
      </c>
      <c r="N14" s="2797"/>
      <c r="O14" s="2797"/>
      <c r="P14" s="2797"/>
      <c r="Q14" s="1761" t="s">
        <v>3073</v>
      </c>
      <c r="R14" s="1761"/>
      <c r="S14" s="679">
        <f>ROUND(1400*Belarus*(1-C31),2)</f>
        <v>1400</v>
      </c>
    </row>
    <row r="15" spans="1:19">
      <c r="A15" s="1630" t="s">
        <v>3056</v>
      </c>
      <c r="B15" s="1630"/>
      <c r="C15" s="1630"/>
      <c r="D15" s="1630"/>
      <c r="E15" s="1630"/>
      <c r="F15" s="1630"/>
      <c r="G15" s="1630"/>
      <c r="H15" s="1630"/>
      <c r="I15" s="1630"/>
      <c r="J15" s="46"/>
      <c r="K15" s="2148" t="s">
        <v>3074</v>
      </c>
      <c r="L15" s="2148"/>
      <c r="M15" s="2797" t="s">
        <v>3075</v>
      </c>
      <c r="N15" s="2797"/>
      <c r="O15" s="2797"/>
      <c r="P15" s="2797"/>
      <c r="Q15" s="1761" t="s">
        <v>3076</v>
      </c>
      <c r="R15" s="1761"/>
      <c r="S15" s="1724">
        <f>ROUND(495*Belarus*(1-C31),2)</f>
        <v>495</v>
      </c>
    </row>
    <row r="16" spans="1:19" ht="42.75" customHeight="1">
      <c r="A16" s="1786" t="s">
        <v>3057</v>
      </c>
      <c r="B16" s="1787"/>
      <c r="C16" s="1787"/>
      <c r="D16" s="1787"/>
      <c r="E16" s="1787"/>
      <c r="F16" s="1787"/>
      <c r="G16" s="1787"/>
      <c r="H16" s="1788"/>
      <c r="I16" s="2185">
        <f>ROUND(14904*Belarus*(1-C31),2)</f>
        <v>14904</v>
      </c>
      <c r="J16" s="46"/>
      <c r="K16" s="2148"/>
      <c r="L16" s="2148"/>
      <c r="M16" s="2797"/>
      <c r="N16" s="2797"/>
      <c r="O16" s="2797"/>
      <c r="P16" s="2797"/>
      <c r="Q16" s="1761"/>
      <c r="R16" s="1761"/>
      <c r="S16" s="1724"/>
    </row>
    <row r="17" spans="1:19" ht="19.5" customHeight="1">
      <c r="A17" s="1817"/>
      <c r="B17" s="1927"/>
      <c r="C17" s="1927"/>
      <c r="D17" s="1927"/>
      <c r="E17" s="1927"/>
      <c r="F17" s="1927"/>
      <c r="G17" s="1927"/>
      <c r="H17" s="1818"/>
      <c r="I17" s="2798"/>
      <c r="J17" s="46"/>
      <c r="K17" s="2799" t="s">
        <v>3077</v>
      </c>
      <c r="L17" s="2799"/>
      <c r="M17" s="1630"/>
      <c r="N17" s="2799"/>
      <c r="O17" s="2799"/>
      <c r="P17" s="2799"/>
      <c r="Q17" s="2799"/>
      <c r="R17" s="2799"/>
      <c r="S17" s="321" t="s">
        <v>624</v>
      </c>
    </row>
    <row r="18" spans="1:19" ht="29.25" customHeight="1">
      <c r="A18" s="1789"/>
      <c r="B18" s="1790"/>
      <c r="C18" s="1790"/>
      <c r="D18" s="1790"/>
      <c r="E18" s="1790"/>
      <c r="F18" s="1790"/>
      <c r="G18" s="1790"/>
      <c r="H18" s="1791"/>
      <c r="I18" s="2186"/>
      <c r="J18" s="46"/>
      <c r="K18" s="287"/>
      <c r="L18" s="1779" t="s">
        <v>3078</v>
      </c>
      <c r="M18" s="1780"/>
      <c r="N18" s="1780"/>
      <c r="O18" s="1780"/>
      <c r="P18" s="1780"/>
      <c r="Q18" s="1780"/>
      <c r="R18" s="1781"/>
      <c r="S18" s="679">
        <f>ROUND(2234*Belarus*(1-C31),2)</f>
        <v>2234</v>
      </c>
    </row>
    <row r="19" spans="1:19" ht="26.25" customHeight="1">
      <c r="A19" s="2796" t="s">
        <v>3058</v>
      </c>
      <c r="B19" s="2796"/>
      <c r="C19" s="2796"/>
      <c r="D19" s="2796"/>
      <c r="E19" s="2796"/>
      <c r="F19" s="2796"/>
      <c r="G19" s="2796"/>
      <c r="H19" s="2796"/>
      <c r="I19" s="2796"/>
      <c r="J19" s="46"/>
      <c r="K19" s="1618"/>
      <c r="L19" s="1332" t="s">
        <v>3079</v>
      </c>
      <c r="M19" s="1332"/>
      <c r="N19" s="1332"/>
      <c r="O19" s="1332"/>
      <c r="P19" s="1332"/>
      <c r="Q19" s="1332"/>
      <c r="R19" s="1332"/>
      <c r="S19" s="1724">
        <f>ROUND(1210*Belarus*(1-C31),2)</f>
        <v>1210</v>
      </c>
    </row>
    <row r="20" spans="1:19" ht="15.75" customHeight="1">
      <c r="A20" s="1618"/>
      <c r="B20" s="1332" t="s">
        <v>3059</v>
      </c>
      <c r="C20" s="2797" t="s">
        <v>3060</v>
      </c>
      <c r="D20" s="1675" t="s">
        <v>284</v>
      </c>
      <c r="E20" s="1675"/>
      <c r="F20" s="1675"/>
      <c r="G20" s="1675" t="s">
        <v>2988</v>
      </c>
      <c r="H20" s="1675"/>
      <c r="I20" s="1724">
        <f>ROUND(11300*Belarus*(1-C31),2)</f>
        <v>11300</v>
      </c>
      <c r="J20" s="46"/>
      <c r="K20" s="1618"/>
      <c r="L20" s="1332"/>
      <c r="M20" s="1332"/>
      <c r="N20" s="1332"/>
      <c r="O20" s="1332"/>
      <c r="P20" s="1332"/>
      <c r="Q20" s="1332"/>
      <c r="R20" s="1332"/>
      <c r="S20" s="1724"/>
    </row>
    <row r="21" spans="1:19" ht="18" customHeight="1">
      <c r="A21" s="1618"/>
      <c r="B21" s="1332"/>
      <c r="C21" s="2797"/>
      <c r="D21" s="1675" t="s">
        <v>3061</v>
      </c>
      <c r="E21" s="1675"/>
      <c r="F21" s="1675"/>
      <c r="G21" s="1675" t="s">
        <v>3062</v>
      </c>
      <c r="H21" s="1675"/>
      <c r="I21" s="1724"/>
      <c r="J21" s="46"/>
      <c r="K21" s="1618"/>
      <c r="L21" s="1716" t="s">
        <v>3080</v>
      </c>
      <c r="M21" s="1716"/>
      <c r="N21" s="1716"/>
      <c r="O21" s="1716"/>
      <c r="P21" s="1716"/>
      <c r="Q21" s="1716"/>
      <c r="R21" s="1716"/>
      <c r="S21" s="1724">
        <f>ROUND(6610*Belarus*(1-C31),2)</f>
        <v>6610</v>
      </c>
    </row>
    <row r="22" spans="1:19" ht="12.75" customHeight="1">
      <c r="A22" s="1618"/>
      <c r="B22" s="1332"/>
      <c r="C22" s="2797"/>
      <c r="D22" s="1675" t="s">
        <v>3063</v>
      </c>
      <c r="E22" s="1675"/>
      <c r="F22" s="1675"/>
      <c r="G22" s="1675" t="s">
        <v>3064</v>
      </c>
      <c r="H22" s="1675"/>
      <c r="I22" s="1724"/>
      <c r="J22" s="46"/>
      <c r="K22" s="1618"/>
      <c r="L22" s="1716"/>
      <c r="M22" s="1716"/>
      <c r="N22" s="1716"/>
      <c r="O22" s="1716"/>
      <c r="P22" s="1716"/>
      <c r="Q22" s="1716"/>
      <c r="R22" s="1716"/>
      <c r="S22" s="1724"/>
    </row>
    <row r="23" spans="1:19" ht="18" customHeight="1">
      <c r="A23" s="1618"/>
      <c r="B23" s="1332"/>
      <c r="C23" s="2797"/>
      <c r="D23" s="1675" t="s">
        <v>3065</v>
      </c>
      <c r="E23" s="1675"/>
      <c r="F23" s="1675"/>
      <c r="G23" s="1675" t="s">
        <v>3066</v>
      </c>
      <c r="H23" s="1675"/>
      <c r="I23" s="1724"/>
      <c r="J23" s="46"/>
      <c r="K23" s="1590"/>
      <c r="L23" s="1716" t="s">
        <v>3081</v>
      </c>
      <c r="M23" s="1716"/>
      <c r="N23" s="1716"/>
      <c r="O23" s="1716"/>
      <c r="P23" s="1716"/>
      <c r="Q23" s="1716"/>
      <c r="R23" s="1716"/>
      <c r="S23" s="1724">
        <f>ROUND(3775*Belarus*(1-C31),2)</f>
        <v>3775</v>
      </c>
    </row>
    <row r="24" spans="1:19" ht="18" customHeight="1">
      <c r="A24" s="1618"/>
      <c r="B24" s="1332"/>
      <c r="C24" s="2797"/>
      <c r="D24" s="1675" t="s">
        <v>3067</v>
      </c>
      <c r="E24" s="1675"/>
      <c r="F24" s="1675"/>
      <c r="G24" s="1675" t="s">
        <v>3068</v>
      </c>
      <c r="H24" s="1675"/>
      <c r="I24" s="1724"/>
      <c r="J24" s="46"/>
      <c r="K24" s="1590"/>
      <c r="L24" s="1716"/>
      <c r="M24" s="1716"/>
      <c r="N24" s="1716"/>
      <c r="O24" s="1716"/>
      <c r="P24" s="1716"/>
      <c r="Q24" s="1716"/>
      <c r="R24" s="1716"/>
      <c r="S24" s="1724"/>
    </row>
    <row r="25" spans="1:19" ht="13.5" customHeight="1">
      <c r="A25" s="1618"/>
      <c r="B25" s="1332"/>
      <c r="C25" s="2797"/>
      <c r="D25" s="1675" t="s">
        <v>3069</v>
      </c>
      <c r="E25" s="1675"/>
      <c r="F25" s="1675"/>
      <c r="G25" s="1675" t="s">
        <v>3068</v>
      </c>
      <c r="H25" s="1675"/>
      <c r="I25" s="1724"/>
      <c r="J25" s="46"/>
      <c r="K25" s="2793" t="s">
        <v>2106</v>
      </c>
      <c r="L25" s="2794"/>
      <c r="M25" s="2794"/>
      <c r="N25" s="2794"/>
      <c r="O25" s="2794"/>
      <c r="P25" s="2794"/>
      <c r="Q25" s="2794"/>
      <c r="R25" s="2794"/>
      <c r="S25" s="2795"/>
    </row>
    <row r="26" spans="1:19">
      <c r="J26" s="46"/>
      <c r="K26" s="108"/>
      <c r="L26" s="108"/>
      <c r="M26" s="108"/>
      <c r="N26" s="108"/>
      <c r="O26" s="108"/>
      <c r="P26" s="108"/>
      <c r="Q26" s="108"/>
      <c r="R26" s="108"/>
      <c r="S26" s="108"/>
    </row>
    <row r="27" spans="1:19">
      <c r="J27" s="46"/>
      <c r="K27" s="46"/>
      <c r="L27" s="46"/>
      <c r="M27" s="46"/>
      <c r="N27" s="46"/>
      <c r="O27" s="46"/>
      <c r="P27" s="46"/>
      <c r="Q27" s="46"/>
      <c r="R27" s="46"/>
      <c r="S27" s="46"/>
    </row>
    <row r="28" spans="1:19">
      <c r="A28" s="46"/>
      <c r="B28" s="578"/>
      <c r="C28" s="76"/>
      <c r="D28" s="578"/>
      <c r="E28" s="578"/>
      <c r="F28" s="578"/>
      <c r="G28" s="578"/>
      <c r="H28" s="46"/>
      <c r="I28" s="46"/>
      <c r="J28" s="46"/>
      <c r="K28" s="46"/>
      <c r="L28" s="46"/>
      <c r="M28" s="46"/>
      <c r="N28" s="46"/>
      <c r="O28" s="46"/>
      <c r="P28" s="46"/>
      <c r="Q28" s="46"/>
      <c r="R28" s="46"/>
      <c r="S28" s="46"/>
    </row>
    <row r="29" spans="1:19">
      <c r="A29" s="579"/>
      <c r="B29" s="579"/>
      <c r="C29" s="113"/>
      <c r="D29" s="579"/>
      <c r="E29" s="579"/>
      <c r="F29" s="579"/>
      <c r="G29" s="96"/>
      <c r="H29" s="579"/>
      <c r="I29" s="579"/>
      <c r="J29" s="46"/>
      <c r="K29" s="46"/>
      <c r="L29" s="46"/>
      <c r="M29" s="46"/>
      <c r="N29" s="46"/>
      <c r="O29" s="46"/>
      <c r="P29" s="46"/>
      <c r="Q29" s="46"/>
      <c r="R29" s="46"/>
      <c r="S29" s="46"/>
    </row>
    <row r="30" spans="1:19">
      <c r="A30" s="46"/>
      <c r="B30" s="46"/>
      <c r="C30" s="52"/>
      <c r="D30" s="46"/>
      <c r="E30" s="46"/>
      <c r="F30" s="46"/>
      <c r="G30" s="46"/>
      <c r="H30" s="46"/>
      <c r="I30" s="46"/>
      <c r="J30" s="46"/>
      <c r="K30" s="46"/>
      <c r="L30" s="46"/>
      <c r="M30" s="46"/>
      <c r="N30" s="46"/>
      <c r="O30" s="46"/>
      <c r="P30" s="46"/>
      <c r="Q30" s="46"/>
      <c r="R30" s="46"/>
      <c r="S30" s="46"/>
    </row>
    <row r="31" spans="1:19">
      <c r="A31" s="2519" t="s">
        <v>1835</v>
      </c>
      <c r="B31" s="2519"/>
      <c r="C31" s="2618">
        <v>0</v>
      </c>
      <c r="D31" s="46"/>
      <c r="E31" s="46"/>
      <c r="F31" s="46"/>
      <c r="G31" s="46"/>
      <c r="H31" s="46"/>
      <c r="I31" s="46"/>
      <c r="J31" s="46"/>
      <c r="K31" s="46"/>
      <c r="L31" s="46"/>
      <c r="M31" s="46"/>
      <c r="N31" s="46"/>
      <c r="O31" s="46"/>
      <c r="P31" s="46"/>
      <c r="Q31" s="46"/>
      <c r="R31" s="46"/>
      <c r="S31" s="46"/>
    </row>
    <row r="32" spans="1:19">
      <c r="A32" s="2519"/>
      <c r="B32" s="2519"/>
      <c r="C32" s="2619"/>
      <c r="D32" s="46"/>
      <c r="E32" s="46"/>
      <c r="F32" s="46"/>
      <c r="G32" s="46"/>
      <c r="H32" s="46"/>
      <c r="I32" s="46"/>
      <c r="J32" s="46"/>
      <c r="K32" s="46"/>
      <c r="L32" s="46"/>
      <c r="M32" s="46"/>
      <c r="N32" s="46"/>
      <c r="O32" s="46"/>
      <c r="P32" s="46"/>
      <c r="Q32" s="46"/>
      <c r="R32" s="46"/>
      <c r="S32" s="46"/>
    </row>
    <row r="33" spans="1:19">
      <c r="A33" s="46"/>
      <c r="B33" s="46"/>
      <c r="C33" s="46"/>
      <c r="D33" s="46"/>
      <c r="E33" s="46"/>
      <c r="F33" s="46"/>
      <c r="G33" s="46"/>
      <c r="H33" s="46"/>
      <c r="I33" s="46"/>
      <c r="J33" s="46"/>
      <c r="K33" s="46"/>
      <c r="L33" s="46"/>
      <c r="M33" s="46"/>
      <c r="N33" s="46"/>
      <c r="O33" s="46"/>
      <c r="P33" s="46"/>
      <c r="Q33" s="46"/>
      <c r="R33" s="46"/>
      <c r="S33" s="46"/>
    </row>
    <row r="34" spans="1:19">
      <c r="A34" s="46"/>
      <c r="B34" s="46"/>
      <c r="C34" s="46"/>
      <c r="D34" s="46"/>
      <c r="E34" s="46"/>
      <c r="F34" s="46"/>
      <c r="G34" s="46"/>
      <c r="H34" s="46"/>
      <c r="I34" s="46"/>
      <c r="J34" s="46"/>
      <c r="K34" s="46"/>
      <c r="L34" s="46"/>
      <c r="M34" s="46"/>
      <c r="N34" s="46"/>
      <c r="O34" s="46"/>
      <c r="P34" s="46"/>
      <c r="Q34" s="46"/>
      <c r="R34" s="46"/>
      <c r="S34" s="46"/>
    </row>
    <row r="35" spans="1:19">
      <c r="A35" s="46"/>
      <c r="B35" s="46"/>
      <c r="C35" s="46"/>
      <c r="D35" s="46"/>
      <c r="E35" s="46"/>
      <c r="F35" s="46"/>
      <c r="G35" s="46"/>
      <c r="H35" s="46"/>
      <c r="I35" s="46"/>
      <c r="J35" s="46"/>
      <c r="K35" s="46"/>
      <c r="L35" s="46"/>
      <c r="M35" s="46"/>
      <c r="N35" s="46"/>
      <c r="O35" s="46"/>
      <c r="P35" s="46"/>
      <c r="Q35" s="46"/>
      <c r="R35" s="46"/>
      <c r="S35" s="46"/>
    </row>
    <row r="36" spans="1:19">
      <c r="A36" s="46"/>
      <c r="B36" s="46"/>
      <c r="C36" s="46"/>
      <c r="D36" s="46"/>
      <c r="E36" s="46"/>
      <c r="F36" s="46"/>
      <c r="G36" s="46"/>
      <c r="H36" s="46"/>
      <c r="I36" s="46"/>
      <c r="J36" s="46"/>
      <c r="K36" s="46"/>
      <c r="L36" s="46"/>
      <c r="M36" s="46"/>
      <c r="N36" s="46"/>
      <c r="O36" s="46"/>
      <c r="P36" s="46"/>
      <c r="Q36" s="46"/>
      <c r="R36" s="46"/>
      <c r="S36" s="46"/>
    </row>
    <row r="37" spans="1:19">
      <c r="A37" s="46"/>
      <c r="B37" s="46"/>
      <c r="C37" s="46"/>
      <c r="D37" s="46"/>
      <c r="E37" s="46"/>
      <c r="F37" s="46"/>
      <c r="G37" s="46"/>
      <c r="H37" s="46"/>
      <c r="I37" s="46"/>
      <c r="J37" s="46"/>
      <c r="K37" s="96"/>
      <c r="L37" s="96"/>
      <c r="M37" s="96"/>
      <c r="N37" s="96"/>
      <c r="O37" s="96"/>
      <c r="P37" s="96"/>
      <c r="Q37" s="96"/>
      <c r="R37" s="96"/>
      <c r="S37" s="96"/>
    </row>
  </sheetData>
  <sheetProtection selectLockedCells="1" selectUnlockedCells="1"/>
  <mergeCells count="76">
    <mergeCell ref="A1:D1"/>
    <mergeCell ref="A3:S3"/>
    <mergeCell ref="A5:A6"/>
    <mergeCell ref="B5:B6"/>
    <mergeCell ref="C5:C6"/>
    <mergeCell ref="D5:D6"/>
    <mergeCell ref="E5:F5"/>
    <mergeCell ref="G5:H6"/>
    <mergeCell ref="I5:I6"/>
    <mergeCell ref="K5:K6"/>
    <mergeCell ref="L5:L6"/>
    <mergeCell ref="M5:M6"/>
    <mergeCell ref="N5:N6"/>
    <mergeCell ref="O5:P5"/>
    <mergeCell ref="Q5:R6"/>
    <mergeCell ref="S5:S6"/>
    <mergeCell ref="A7:A9"/>
    <mergeCell ref="B7:B9"/>
    <mergeCell ref="C7:C9"/>
    <mergeCell ref="D7:D9"/>
    <mergeCell ref="G7:H9"/>
    <mergeCell ref="I7:I9"/>
    <mergeCell ref="K7:K9"/>
    <mergeCell ref="M7:M9"/>
    <mergeCell ref="Q7:R9"/>
    <mergeCell ref="S7:S9"/>
    <mergeCell ref="E8:F8"/>
    <mergeCell ref="L8:L9"/>
    <mergeCell ref="N8:N9"/>
    <mergeCell ref="O8:O9"/>
    <mergeCell ref="P8:P9"/>
    <mergeCell ref="A13:H13"/>
    <mergeCell ref="K13:R13"/>
    <mergeCell ref="A14:H14"/>
    <mergeCell ref="N14:P14"/>
    <mergeCell ref="Q14:R14"/>
    <mergeCell ref="A15:I15"/>
    <mergeCell ref="K15:K16"/>
    <mergeCell ref="L15:L16"/>
    <mergeCell ref="M15:M16"/>
    <mergeCell ref="Q15:R16"/>
    <mergeCell ref="S15:S16"/>
    <mergeCell ref="A16:H18"/>
    <mergeCell ref="I16:I18"/>
    <mergeCell ref="K17:R17"/>
    <mergeCell ref="L18:R18"/>
    <mergeCell ref="N15:P16"/>
    <mergeCell ref="A19:I19"/>
    <mergeCell ref="K19:K20"/>
    <mergeCell ref="L19:R20"/>
    <mergeCell ref="S19:S20"/>
    <mergeCell ref="A20:A25"/>
    <mergeCell ref="B20:B25"/>
    <mergeCell ref="C20:C25"/>
    <mergeCell ref="D24:F24"/>
    <mergeCell ref="D20:F20"/>
    <mergeCell ref="G20:H20"/>
    <mergeCell ref="K21:K22"/>
    <mergeCell ref="L21:R22"/>
    <mergeCell ref="D25:F25"/>
    <mergeCell ref="G25:H25"/>
    <mergeCell ref="K25:S25"/>
    <mergeCell ref="S23:S24"/>
    <mergeCell ref="D22:F22"/>
    <mergeCell ref="G22:H22"/>
    <mergeCell ref="S21:S22"/>
    <mergeCell ref="A31:B32"/>
    <mergeCell ref="C31:C32"/>
    <mergeCell ref="D23:F23"/>
    <mergeCell ref="G23:H23"/>
    <mergeCell ref="K23:K24"/>
    <mergeCell ref="L23:R24"/>
    <mergeCell ref="G24:H24"/>
    <mergeCell ref="I20:I25"/>
    <mergeCell ref="D21:F21"/>
    <mergeCell ref="G21:H21"/>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55"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44</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pageSetUpPr fitToPage="1"/>
  </sheetPr>
  <dimension ref="A1:S43"/>
  <sheetViews>
    <sheetView topLeftCell="B1" zoomScale="70" zoomScaleNormal="70" workbookViewId="0">
      <selection activeCell="A2" sqref="A2:M2"/>
    </sheetView>
  </sheetViews>
  <sheetFormatPr defaultRowHeight="15"/>
  <cols>
    <col min="1" max="1" width="18.85546875" style="1061" customWidth="1"/>
    <col min="2" max="2" width="17.85546875" style="1061" customWidth="1"/>
    <col min="3" max="3" width="22.140625" style="1061" customWidth="1"/>
    <col min="4" max="4" width="17.140625" style="1061" customWidth="1"/>
    <col min="5" max="5" width="21.28515625" style="1061" customWidth="1"/>
    <col min="6" max="9" width="9.85546875" style="1061" customWidth="1"/>
    <col min="10" max="10" width="1.7109375" style="1061" customWidth="1"/>
    <col min="11" max="11" width="16.140625" style="1061" customWidth="1"/>
    <col min="12" max="12" width="15.85546875" style="1061" customWidth="1"/>
    <col min="13" max="13" width="12.28515625" style="1061" customWidth="1"/>
    <col min="14" max="14" width="12.7109375" style="1061" customWidth="1"/>
    <col min="15" max="15" width="22.28515625" style="1061" customWidth="1"/>
    <col min="16" max="16" width="9.28515625" style="1061" customWidth="1"/>
    <col min="17" max="18" width="9.85546875" style="1061" customWidth="1"/>
    <col min="19" max="19" width="10.7109375" style="1061" customWidth="1"/>
    <col min="20" max="16384" width="9.140625" style="1061"/>
  </cols>
  <sheetData>
    <row r="1" spans="1:19">
      <c r="A1" s="1666" t="s">
        <v>312</v>
      </c>
      <c r="B1" s="1666"/>
      <c r="C1" s="1666"/>
      <c r="D1" s="1666"/>
      <c r="E1" s="46"/>
      <c r="F1" s="46"/>
      <c r="G1" s="46"/>
      <c r="H1" s="46"/>
      <c r="I1" s="46"/>
      <c r="J1" s="46"/>
      <c r="K1" s="46"/>
      <c r="L1" s="46"/>
      <c r="M1" s="46"/>
      <c r="N1" s="46"/>
      <c r="O1" s="46"/>
      <c r="P1" s="46"/>
      <c r="Q1" s="46"/>
      <c r="R1" s="46"/>
      <c r="S1" s="46"/>
    </row>
    <row r="2" spans="1:19" ht="18.75" thickBot="1">
      <c r="A2" s="1273" t="s">
        <v>3082</v>
      </c>
      <c r="B2" s="1273"/>
      <c r="C2" s="1273"/>
      <c r="D2" s="1273"/>
      <c r="E2" s="1273"/>
      <c r="F2" s="1273"/>
      <c r="G2" s="1273"/>
      <c r="H2" s="1273"/>
      <c r="I2" s="1273"/>
      <c r="J2" s="1273"/>
      <c r="K2" s="1273"/>
      <c r="L2" s="1273"/>
      <c r="M2" s="1273"/>
      <c r="N2" s="746"/>
      <c r="O2" s="746"/>
      <c r="P2" s="874"/>
      <c r="Q2" s="734" t="s">
        <v>313</v>
      </c>
      <c r="R2" s="1483">
        <v>43244</v>
      </c>
      <c r="S2" s="1483"/>
    </row>
    <row r="3" spans="1:19" ht="12.75" customHeight="1">
      <c r="A3" s="46"/>
      <c r="B3" s="46"/>
      <c r="C3" s="46"/>
      <c r="D3" s="46"/>
      <c r="E3" s="46"/>
      <c r="F3" s="46"/>
      <c r="G3" s="46"/>
      <c r="H3" s="46"/>
      <c r="I3" s="46"/>
      <c r="J3" s="46"/>
      <c r="K3" s="46"/>
      <c r="L3" s="46"/>
      <c r="M3" s="46"/>
      <c r="N3" s="46"/>
      <c r="Q3" s="2" t="s">
        <v>315</v>
      </c>
      <c r="R3" s="2442">
        <v>43213</v>
      </c>
      <c r="S3" s="2442"/>
    </row>
    <row r="4" spans="1:19" ht="12.75" customHeight="1">
      <c r="A4" s="1352" t="s">
        <v>1547</v>
      </c>
      <c r="B4" s="1398" t="s">
        <v>307</v>
      </c>
      <c r="C4" s="1398" t="s">
        <v>2992</v>
      </c>
      <c r="D4" s="1352" t="s">
        <v>3035</v>
      </c>
      <c r="E4" s="1352" t="s">
        <v>2876</v>
      </c>
      <c r="F4" s="1352" t="s">
        <v>3036</v>
      </c>
      <c r="G4" s="1352"/>
      <c r="H4" s="1352"/>
      <c r="I4" s="1352"/>
      <c r="J4" s="238"/>
      <c r="K4" s="1352" t="s">
        <v>1547</v>
      </c>
      <c r="L4" s="2033" t="s">
        <v>307</v>
      </c>
      <c r="M4" s="2033" t="s">
        <v>2992</v>
      </c>
      <c r="N4" s="2027" t="s">
        <v>3035</v>
      </c>
      <c r="O4" s="2027" t="s">
        <v>2876</v>
      </c>
      <c r="P4" s="1352" t="s">
        <v>3036</v>
      </c>
      <c r="Q4" s="1352"/>
      <c r="R4" s="1352"/>
      <c r="S4" s="1352"/>
    </row>
    <row r="5" spans="1:19">
      <c r="A5" s="1352"/>
      <c r="B5" s="1398"/>
      <c r="C5" s="1398"/>
      <c r="D5" s="1352"/>
      <c r="E5" s="1352"/>
      <c r="F5" s="2809">
        <v>1</v>
      </c>
      <c r="G5" s="2809"/>
      <c r="H5" s="2809"/>
      <c r="I5" s="2809"/>
      <c r="J5" s="238"/>
      <c r="K5" s="1352"/>
      <c r="L5" s="2034"/>
      <c r="M5" s="2034"/>
      <c r="N5" s="2028"/>
      <c r="O5" s="2028"/>
      <c r="P5" s="1352" t="s">
        <v>3083</v>
      </c>
      <c r="Q5" s="1352"/>
      <c r="R5" s="1352"/>
      <c r="S5" s="1352"/>
    </row>
    <row r="6" spans="1:19" ht="18" customHeight="1">
      <c r="A6" s="1580"/>
      <c r="B6" s="1539" t="s">
        <v>3084</v>
      </c>
      <c r="C6" s="1765" t="s">
        <v>3042</v>
      </c>
      <c r="D6" s="43">
        <v>1.53</v>
      </c>
      <c r="E6" s="43" t="s">
        <v>2882</v>
      </c>
      <c r="F6" s="1724">
        <f>ROUND(15372*Belarus*(1-C42),2)</f>
        <v>15372</v>
      </c>
      <c r="G6" s="1724"/>
      <c r="H6" s="1724"/>
      <c r="I6" s="1724"/>
      <c r="J6" s="238"/>
      <c r="K6" s="1931"/>
      <c r="L6" s="1450" t="s">
        <v>3085</v>
      </c>
      <c r="M6" s="1765" t="s">
        <v>3086</v>
      </c>
      <c r="N6" s="101">
        <v>1.03</v>
      </c>
      <c r="O6" s="101" t="s">
        <v>2882</v>
      </c>
      <c r="P6" s="1724">
        <f>ROUND(10589*Belarus*(1-C42),2)</f>
        <v>10589</v>
      </c>
      <c r="Q6" s="1724"/>
      <c r="R6" s="1724"/>
      <c r="S6" s="1724"/>
    </row>
    <row r="7" spans="1:19" ht="28.5" customHeight="1">
      <c r="A7" s="1580"/>
      <c r="B7" s="1539"/>
      <c r="C7" s="1455"/>
      <c r="D7" s="44">
        <v>1.73</v>
      </c>
      <c r="E7" s="44" t="s">
        <v>2882</v>
      </c>
      <c r="F7" s="1724">
        <f>ROUND(17600*Belarus*(1-C42),2)</f>
        <v>17600</v>
      </c>
      <c r="G7" s="1724"/>
      <c r="H7" s="1724"/>
      <c r="I7" s="1724"/>
      <c r="J7" s="238"/>
      <c r="K7" s="1932"/>
      <c r="L7" s="1864"/>
      <c r="M7" s="1455"/>
      <c r="N7" s="43">
        <v>1.53</v>
      </c>
      <c r="O7" s="103" t="s">
        <v>3087</v>
      </c>
      <c r="P7" s="1724">
        <f>ROUND(12160*Belarus*(1-C42),2)</f>
        <v>12160</v>
      </c>
      <c r="Q7" s="1724"/>
      <c r="R7" s="1724"/>
      <c r="S7" s="1724"/>
    </row>
    <row r="8" spans="1:19" ht="29.25" customHeight="1">
      <c r="A8" s="1580"/>
      <c r="B8" s="1539"/>
      <c r="C8" s="1455"/>
      <c r="D8" s="44">
        <v>2.0299999999999998</v>
      </c>
      <c r="E8" s="44" t="s">
        <v>2896</v>
      </c>
      <c r="F8" s="1757">
        <f>ROUND(20522*Belarus*(1-C42),2)</f>
        <v>20522</v>
      </c>
      <c r="G8" s="2808"/>
      <c r="H8" s="2808"/>
      <c r="I8" s="1758"/>
      <c r="J8" s="238"/>
      <c r="K8" s="1932"/>
      <c r="L8" s="1864"/>
      <c r="M8" s="1455"/>
      <c r="N8" s="44">
        <v>1.73</v>
      </c>
      <c r="O8" s="103" t="s">
        <v>2882</v>
      </c>
      <c r="P8" s="1724">
        <f>ROUND(13331*Belarus*(1-C42),2)</f>
        <v>13331</v>
      </c>
      <c r="Q8" s="1724"/>
      <c r="R8" s="1724"/>
      <c r="S8" s="1724"/>
    </row>
    <row r="9" spans="1:19" ht="26.25" customHeight="1">
      <c r="A9" s="1580"/>
      <c r="B9" s="1539"/>
      <c r="C9" s="1455"/>
      <c r="D9" s="44">
        <v>2.4300000000000002</v>
      </c>
      <c r="E9" s="44" t="s">
        <v>2882</v>
      </c>
      <c r="F9" s="1724">
        <f>ROUND(23445*Belarus*(1-C42),2)</f>
        <v>23445</v>
      </c>
      <c r="G9" s="1724"/>
      <c r="H9" s="1724"/>
      <c r="I9" s="1724"/>
      <c r="J9" s="238"/>
      <c r="K9" s="1933"/>
      <c r="L9" s="1451"/>
      <c r="M9" s="1456"/>
      <c r="N9" s="44">
        <v>2.0299999999999998</v>
      </c>
      <c r="O9" s="103" t="s">
        <v>3087</v>
      </c>
      <c r="P9" s="1724">
        <f>ROUND(14408*Belarus*(1-C42),2)</f>
        <v>14408</v>
      </c>
      <c r="Q9" s="1724"/>
      <c r="R9" s="1724"/>
      <c r="S9" s="1724"/>
    </row>
    <row r="10" spans="1:19" ht="18" customHeight="1">
      <c r="A10" s="1580"/>
      <c r="B10" s="1539"/>
      <c r="C10" s="103" t="s">
        <v>3088</v>
      </c>
      <c r="D10" s="44">
        <v>2.0299999999999998</v>
      </c>
      <c r="E10" s="44" t="s">
        <v>3089</v>
      </c>
      <c r="F10" s="1724">
        <f>ROUND(22575*Belarus*(1-C42),2)</f>
        <v>22575</v>
      </c>
      <c r="G10" s="1724"/>
      <c r="H10" s="1724"/>
      <c r="I10" s="1724"/>
      <c r="J10" s="238"/>
      <c r="K10" s="164"/>
      <c r="L10" s="96"/>
      <c r="M10" s="96"/>
      <c r="N10" s="96"/>
      <c r="O10" s="96"/>
      <c r="P10" s="96"/>
      <c r="Q10" s="581"/>
      <c r="R10" s="46"/>
      <c r="S10" s="46"/>
    </row>
    <row r="11" spans="1:19" ht="6.75" customHeight="1">
      <c r="A11" s="130"/>
      <c r="B11" s="139"/>
      <c r="C11" s="69"/>
      <c r="D11" s="139"/>
      <c r="E11" s="139"/>
      <c r="F11" s="139"/>
      <c r="G11" s="139"/>
      <c r="H11" s="139"/>
      <c r="I11" s="139"/>
      <c r="J11" s="238"/>
      <c r="K11" s="164"/>
      <c r="L11" s="108"/>
      <c r="M11" s="125"/>
      <c r="N11" s="53"/>
      <c r="O11" s="53"/>
      <c r="P11" s="581"/>
      <c r="Q11" s="581"/>
      <c r="R11" s="46"/>
      <c r="S11" s="46"/>
    </row>
    <row r="12" spans="1:19" ht="12.75" customHeight="1">
      <c r="A12" s="1352" t="s">
        <v>1547</v>
      </c>
      <c r="B12" s="1398" t="s">
        <v>307</v>
      </c>
      <c r="C12" s="1398" t="s">
        <v>2992</v>
      </c>
      <c r="D12" s="1352" t="s">
        <v>3035</v>
      </c>
      <c r="E12" s="1352" t="s">
        <v>2876</v>
      </c>
      <c r="F12" s="1352" t="s">
        <v>3036</v>
      </c>
      <c r="G12" s="1352"/>
      <c r="H12" s="1352"/>
      <c r="I12" s="1352"/>
      <c r="J12" s="238"/>
      <c r="K12" s="1352" t="s">
        <v>1547</v>
      </c>
      <c r="L12" s="1398" t="s">
        <v>307</v>
      </c>
      <c r="M12" s="1398" t="s">
        <v>2992</v>
      </c>
      <c r="N12" s="1352" t="s">
        <v>3035</v>
      </c>
      <c r="O12" s="1352" t="s">
        <v>2876</v>
      </c>
      <c r="P12" s="1353" t="s">
        <v>3036</v>
      </c>
      <c r="Q12" s="1354"/>
      <c r="R12" s="1354"/>
      <c r="S12" s="1355"/>
    </row>
    <row r="13" spans="1:19">
      <c r="A13" s="1352"/>
      <c r="B13" s="1398"/>
      <c r="C13" s="1398"/>
      <c r="D13" s="1352"/>
      <c r="E13" s="1352"/>
      <c r="F13" s="131">
        <v>3</v>
      </c>
      <c r="G13" s="131">
        <v>4</v>
      </c>
      <c r="H13" s="131">
        <v>5</v>
      </c>
      <c r="I13" s="131">
        <v>6</v>
      </c>
      <c r="J13" s="238"/>
      <c r="K13" s="1352"/>
      <c r="L13" s="1398"/>
      <c r="M13" s="1398"/>
      <c r="N13" s="1352"/>
      <c r="O13" s="1352"/>
      <c r="P13" s="580" t="s">
        <v>3090</v>
      </c>
      <c r="Q13" s="580" t="s">
        <v>3091</v>
      </c>
      <c r="R13" s="580" t="s">
        <v>3092</v>
      </c>
      <c r="S13" s="580" t="s">
        <v>3093</v>
      </c>
    </row>
    <row r="14" spans="1:19" ht="18" customHeight="1">
      <c r="A14" s="1907"/>
      <c r="B14" s="1450" t="s">
        <v>3094</v>
      </c>
      <c r="C14" s="1765" t="s">
        <v>3042</v>
      </c>
      <c r="D14" s="1891">
        <v>1.53</v>
      </c>
      <c r="E14" s="1891" t="s">
        <v>2882</v>
      </c>
      <c r="F14" s="2185" t="s">
        <v>369</v>
      </c>
      <c r="G14" s="2185">
        <f>ROUND(39740*Belarus*(1-C42),2)</f>
        <v>39740</v>
      </c>
      <c r="H14" s="2185" t="s">
        <v>369</v>
      </c>
      <c r="I14" s="2185" t="s">
        <v>369</v>
      </c>
      <c r="J14" s="238"/>
      <c r="K14" s="1618"/>
      <c r="L14" s="1539" t="s">
        <v>3095</v>
      </c>
      <c r="M14" s="1530" t="s">
        <v>3096</v>
      </c>
      <c r="N14" s="1891">
        <v>1.53</v>
      </c>
      <c r="O14" s="103" t="s">
        <v>2882</v>
      </c>
      <c r="P14" s="769">
        <f>ROUND(25218*Belarus*(1-C42),2)</f>
        <v>25218</v>
      </c>
      <c r="Q14" s="2806">
        <f>ROUND(27962*Belarus*(1-C42),2)</f>
        <v>27962</v>
      </c>
      <c r="R14" s="2806" t="s">
        <v>369</v>
      </c>
      <c r="S14" s="2806" t="s">
        <v>369</v>
      </c>
    </row>
    <row r="15" spans="1:19" ht="15.75" customHeight="1">
      <c r="A15" s="1908"/>
      <c r="B15" s="1864"/>
      <c r="C15" s="1455"/>
      <c r="D15" s="1893"/>
      <c r="E15" s="1893"/>
      <c r="F15" s="2186"/>
      <c r="G15" s="2186"/>
      <c r="H15" s="2186"/>
      <c r="I15" s="2186"/>
      <c r="J15" s="238"/>
      <c r="K15" s="1618"/>
      <c r="L15" s="1539"/>
      <c r="M15" s="1530"/>
      <c r="N15" s="1893"/>
      <c r="O15" s="103" t="s">
        <v>2932</v>
      </c>
      <c r="P15" s="769" t="s">
        <v>369</v>
      </c>
      <c r="Q15" s="2807"/>
      <c r="R15" s="2807"/>
      <c r="S15" s="2807"/>
    </row>
    <row r="16" spans="1:19" ht="22.5" customHeight="1">
      <c r="A16" s="1908"/>
      <c r="B16" s="1864"/>
      <c r="C16" s="1455"/>
      <c r="D16" s="44">
        <v>1.73</v>
      </c>
      <c r="E16" s="44" t="s">
        <v>2882</v>
      </c>
      <c r="F16" s="679" t="s">
        <v>369</v>
      </c>
      <c r="G16" s="679">
        <f>ROUND(42405*Belarus*(1-C42),2)</f>
        <v>42405</v>
      </c>
      <c r="H16" s="679" t="s">
        <v>369</v>
      </c>
      <c r="I16" s="679" t="s">
        <v>369</v>
      </c>
      <c r="J16" s="238"/>
      <c r="K16" s="1618"/>
      <c r="L16" s="1539"/>
      <c r="M16" s="1530"/>
      <c r="N16" s="44">
        <v>1.73</v>
      </c>
      <c r="O16" s="103" t="s">
        <v>2882</v>
      </c>
      <c r="P16" s="769">
        <f>ROUND(29305*Belarus*(1-C42),2)</f>
        <v>29305</v>
      </c>
      <c r="Q16" s="769">
        <f>ROUND(32443*Belarus*(1-C42),2)</f>
        <v>32443</v>
      </c>
      <c r="R16" s="769" t="s">
        <v>369</v>
      </c>
      <c r="S16" s="769" t="s">
        <v>369</v>
      </c>
    </row>
    <row r="17" spans="1:19" ht="18.75" customHeight="1">
      <c r="A17" s="1908"/>
      <c r="B17" s="1864"/>
      <c r="C17" s="1455"/>
      <c r="D17" s="1900">
        <v>2.0299999999999998</v>
      </c>
      <c r="E17" s="44" t="s">
        <v>2882</v>
      </c>
      <c r="F17" s="679">
        <f>ROUND(40273*Belarus*(1-C42),2)</f>
        <v>40273</v>
      </c>
      <c r="G17" s="2185">
        <f>ROUND(44419*Belarus*(1-C42),2)</f>
        <v>44419</v>
      </c>
      <c r="H17" s="679">
        <f>ROUND(62779*Belarus*(1-C42),2)</f>
        <v>62779</v>
      </c>
      <c r="I17" s="679">
        <f>ROUND(83685*Belarus*(1-C42),2)</f>
        <v>83685</v>
      </c>
      <c r="J17" s="238"/>
      <c r="K17" s="1618"/>
      <c r="L17" s="1539"/>
      <c r="M17" s="1530"/>
      <c r="N17" s="1716">
        <v>2.0299999999999998</v>
      </c>
      <c r="O17" s="103" t="s">
        <v>2882</v>
      </c>
      <c r="P17" s="2806">
        <f>ROUND(30153*Belarus*(1-C42),2)</f>
        <v>30153</v>
      </c>
      <c r="Q17" s="2806">
        <f>ROUND(33780*Belarus*(1-C42),2)</f>
        <v>33780</v>
      </c>
      <c r="R17" s="769">
        <f>ROUND(39622*Belarus*(1-C42),2)</f>
        <v>39622</v>
      </c>
      <c r="S17" s="769">
        <f>ROUND(46570*Belarus*(1-C42),2)</f>
        <v>46570</v>
      </c>
    </row>
    <row r="18" spans="1:19" ht="18.75" customHeight="1">
      <c r="A18" s="1908"/>
      <c r="B18" s="1864"/>
      <c r="C18" s="1455"/>
      <c r="D18" s="1901"/>
      <c r="E18" s="44" t="s">
        <v>3097</v>
      </c>
      <c r="F18" s="679" t="s">
        <v>369</v>
      </c>
      <c r="G18" s="2186"/>
      <c r="H18" s="679" t="s">
        <v>369</v>
      </c>
      <c r="I18" s="679" t="s">
        <v>369</v>
      </c>
      <c r="J18" s="238"/>
      <c r="K18" s="1618"/>
      <c r="L18" s="1539"/>
      <c r="M18" s="1530"/>
      <c r="N18" s="1716"/>
      <c r="O18" s="103" t="s">
        <v>2932</v>
      </c>
      <c r="P18" s="2807"/>
      <c r="Q18" s="2807"/>
      <c r="R18" s="769" t="s">
        <v>369</v>
      </c>
      <c r="S18" s="769" t="s">
        <v>369</v>
      </c>
    </row>
    <row r="19" spans="1:19">
      <c r="A19" s="1909"/>
      <c r="B19" s="1451"/>
      <c r="C19" s="1456"/>
      <c r="D19" s="44">
        <v>2.4300000000000002</v>
      </c>
      <c r="E19" s="44" t="s">
        <v>2882</v>
      </c>
      <c r="F19" s="679" t="s">
        <v>369</v>
      </c>
      <c r="G19" s="679">
        <f>ROUND(53895*Belarus*(1-C42),2)</f>
        <v>53895</v>
      </c>
      <c r="H19" s="679" t="s">
        <v>369</v>
      </c>
      <c r="I19" s="679" t="s">
        <v>369</v>
      </c>
      <c r="J19" s="238"/>
      <c r="K19" s="46"/>
      <c r="L19" s="46"/>
      <c r="M19" s="46"/>
      <c r="N19" s="46"/>
      <c r="O19" s="46"/>
      <c r="P19" s="46"/>
      <c r="Q19" s="46"/>
      <c r="R19" s="46"/>
      <c r="S19" s="46"/>
    </row>
    <row r="20" spans="1:19" ht="6.75" customHeight="1">
      <c r="A20" s="130"/>
      <c r="B20" s="139"/>
      <c r="C20" s="69"/>
      <c r="D20" s="139"/>
      <c r="E20" s="139"/>
      <c r="F20" s="139"/>
      <c r="G20" s="139"/>
      <c r="H20" s="139"/>
      <c r="I20" s="139"/>
      <c r="J20" s="238"/>
      <c r="K20" s="164"/>
      <c r="L20" s="108"/>
      <c r="M20" s="125"/>
      <c r="N20" s="53"/>
      <c r="O20" s="53"/>
      <c r="P20" s="581"/>
      <c r="Q20" s="581"/>
      <c r="R20" s="46"/>
      <c r="S20" s="46"/>
    </row>
    <row r="21" spans="1:19" ht="25.5">
      <c r="A21" s="131" t="s">
        <v>1547</v>
      </c>
      <c r="B21" s="126" t="s">
        <v>307</v>
      </c>
      <c r="C21" s="1398" t="s">
        <v>3039</v>
      </c>
      <c r="D21" s="1398"/>
      <c r="E21" s="131" t="s">
        <v>2876</v>
      </c>
      <c r="F21" s="1352" t="s">
        <v>3040</v>
      </c>
      <c r="G21" s="1352"/>
      <c r="H21" s="1352"/>
      <c r="I21" s="1352"/>
      <c r="J21" s="238"/>
      <c r="K21" s="131" t="s">
        <v>1547</v>
      </c>
      <c r="L21" s="1398" t="s">
        <v>307</v>
      </c>
      <c r="M21" s="1398"/>
      <c r="N21" s="126" t="s">
        <v>3098</v>
      </c>
      <c r="O21" s="131" t="s">
        <v>2876</v>
      </c>
      <c r="P21" s="1353" t="s">
        <v>3099</v>
      </c>
      <c r="Q21" s="1355"/>
      <c r="R21" s="1352" t="s">
        <v>3040</v>
      </c>
      <c r="S21" s="1352"/>
    </row>
    <row r="22" spans="1:19" ht="65.25" customHeight="1">
      <c r="A22" s="1907"/>
      <c r="B22" s="1450" t="s">
        <v>3100</v>
      </c>
      <c r="C22" s="1786" t="s">
        <v>3101</v>
      </c>
      <c r="D22" s="1788"/>
      <c r="E22" s="1900" t="s">
        <v>2957</v>
      </c>
      <c r="F22" s="1724">
        <f>ROUND(955*Belarus*(1-C42),2)</f>
        <v>955</v>
      </c>
      <c r="G22" s="1724"/>
      <c r="H22" s="1724"/>
      <c r="I22" s="1724"/>
      <c r="J22" s="238"/>
      <c r="K22" s="2708"/>
      <c r="L22" s="1539" t="s">
        <v>6316</v>
      </c>
      <c r="M22" s="1539"/>
      <c r="N22" s="282" t="s">
        <v>3102</v>
      </c>
      <c r="O22" s="282" t="s">
        <v>3103</v>
      </c>
      <c r="P22" s="1386" t="s">
        <v>3104</v>
      </c>
      <c r="Q22" s="1386"/>
      <c r="R22" s="1724">
        <f>ROUND(10294*Belarus*(1-C42),2)</f>
        <v>10294</v>
      </c>
      <c r="S22" s="1724"/>
    </row>
    <row r="23" spans="1:19" ht="56.25" customHeight="1">
      <c r="A23" s="1909"/>
      <c r="B23" s="1451"/>
      <c r="C23" s="1789"/>
      <c r="D23" s="1791"/>
      <c r="E23" s="1901"/>
      <c r="F23" s="1724"/>
      <c r="G23" s="1724"/>
      <c r="H23" s="1724"/>
      <c r="I23" s="1724"/>
      <c r="J23" s="238"/>
      <c r="K23" s="2723"/>
      <c r="L23" s="1539" t="s">
        <v>3105</v>
      </c>
      <c r="M23" s="1539"/>
      <c r="N23" s="282" t="s">
        <v>3102</v>
      </c>
      <c r="O23" s="282" t="s">
        <v>3103</v>
      </c>
      <c r="P23" s="2472" t="s">
        <v>3106</v>
      </c>
      <c r="Q23" s="2474"/>
      <c r="R23" s="1724">
        <f>ROUND(11324*Belarus*(1-C42),2)</f>
        <v>11324</v>
      </c>
      <c r="S23" s="1724"/>
    </row>
    <row r="24" spans="1:19" ht="18" customHeight="1">
      <c r="A24" s="2803" t="s">
        <v>3107</v>
      </c>
      <c r="B24" s="2804"/>
      <c r="C24" s="2804"/>
      <c r="D24" s="2804"/>
      <c r="E24" s="2804"/>
      <c r="F24" s="2804"/>
      <c r="G24" s="2804"/>
      <c r="H24" s="2804"/>
      <c r="I24" s="2805"/>
      <c r="J24" s="238"/>
      <c r="K24" s="2702"/>
      <c r="L24" s="1539" t="s">
        <v>6317</v>
      </c>
      <c r="M24" s="1539"/>
      <c r="N24" s="1877" t="s">
        <v>3108</v>
      </c>
      <c r="O24" s="1877" t="s">
        <v>3103</v>
      </c>
      <c r="P24" s="1386" t="s">
        <v>3104</v>
      </c>
      <c r="Q24" s="1386"/>
      <c r="R24" s="1724">
        <f>ROUND(19088*Belarus*(1-C42),2)</f>
        <v>19088</v>
      </c>
      <c r="S24" s="1724"/>
    </row>
    <row r="25" spans="1:19" ht="24.75" customHeight="1">
      <c r="A25" s="1909"/>
      <c r="B25" s="2801" t="s">
        <v>3109</v>
      </c>
      <c r="C25" s="2802" t="s">
        <v>3110</v>
      </c>
      <c r="D25" s="1373"/>
      <c r="E25" s="1997" t="s">
        <v>2957</v>
      </c>
      <c r="F25" s="1724">
        <f>ROUND(300*Belarus*(1-C42),2)</f>
        <v>300</v>
      </c>
      <c r="G25" s="1724"/>
      <c r="H25" s="1724"/>
      <c r="I25" s="1724"/>
      <c r="J25" s="238"/>
      <c r="K25" s="2702"/>
      <c r="L25" s="1539"/>
      <c r="M25" s="1539"/>
      <c r="N25" s="1877"/>
      <c r="O25" s="1877"/>
      <c r="P25" s="1386"/>
      <c r="Q25" s="1386"/>
      <c r="R25" s="1724"/>
      <c r="S25" s="1724"/>
    </row>
    <row r="26" spans="1:19" ht="18" customHeight="1">
      <c r="A26" s="1618"/>
      <c r="B26" s="2801"/>
      <c r="C26" s="1371"/>
      <c r="D26" s="1373"/>
      <c r="E26" s="1997"/>
      <c r="F26" s="1724"/>
      <c r="G26" s="1724"/>
      <c r="H26" s="1724"/>
      <c r="I26" s="1724"/>
      <c r="J26" s="238"/>
      <c r="K26" s="2702"/>
      <c r="L26" s="1539" t="s">
        <v>3111</v>
      </c>
      <c r="M26" s="1539"/>
      <c r="N26" s="1877" t="s">
        <v>3108</v>
      </c>
      <c r="O26" s="1877" t="s">
        <v>3103</v>
      </c>
      <c r="P26" s="1542" t="s">
        <v>3106</v>
      </c>
      <c r="Q26" s="1544"/>
      <c r="R26" s="1724">
        <f>ROUND(21148*Belarus*(1-C42),2)</f>
        <v>21148</v>
      </c>
      <c r="S26" s="1724"/>
    </row>
    <row r="27" spans="1:19" ht="18" customHeight="1">
      <c r="A27" s="1618"/>
      <c r="B27" s="2036"/>
      <c r="C27" s="1374"/>
      <c r="D27" s="1376"/>
      <c r="E27" s="1901"/>
      <c r="F27" s="1724"/>
      <c r="G27" s="1724"/>
      <c r="H27" s="1724"/>
      <c r="I27" s="1724"/>
      <c r="J27" s="238"/>
      <c r="K27" s="2702"/>
      <c r="L27" s="1539"/>
      <c r="M27" s="1539"/>
      <c r="N27" s="1877"/>
      <c r="O27" s="1877"/>
      <c r="P27" s="1441"/>
      <c r="Q27" s="1449"/>
      <c r="R27" s="1724"/>
      <c r="S27" s="1724"/>
    </row>
    <row r="28" spans="1:19" ht="59.25" customHeight="1">
      <c r="A28" s="132"/>
      <c r="B28" s="582" t="s">
        <v>3112</v>
      </c>
      <c r="C28" s="1779" t="s">
        <v>3113</v>
      </c>
      <c r="D28" s="1358"/>
      <c r="E28" s="332" t="s">
        <v>3114</v>
      </c>
      <c r="F28" s="1724">
        <f>ROUND(770*Belarus*(1-C42),2)</f>
        <v>770</v>
      </c>
      <c r="G28" s="1724"/>
      <c r="H28" s="1724"/>
      <c r="I28" s="1724"/>
      <c r="J28" s="238"/>
      <c r="K28" s="46"/>
      <c r="L28" s="46"/>
      <c r="M28" s="46"/>
      <c r="N28" s="46"/>
      <c r="O28" s="46"/>
      <c r="P28" s="46"/>
      <c r="Q28" s="46"/>
      <c r="R28" s="46"/>
      <c r="S28" s="46"/>
    </row>
    <row r="29" spans="1:19" ht="16.5" customHeight="1">
      <c r="A29" s="1352" t="s">
        <v>1547</v>
      </c>
      <c r="B29" s="1398" t="s">
        <v>307</v>
      </c>
      <c r="C29" s="1398"/>
      <c r="D29" s="1398" t="s">
        <v>3098</v>
      </c>
      <c r="E29" s="1352" t="s">
        <v>2876</v>
      </c>
      <c r="F29" s="1352" t="s">
        <v>3040</v>
      </c>
      <c r="G29" s="1352"/>
      <c r="H29" s="1352"/>
      <c r="I29" s="1352"/>
      <c r="J29" s="238"/>
      <c r="K29" s="1398" t="s">
        <v>3115</v>
      </c>
      <c r="L29" s="1532" t="s">
        <v>3116</v>
      </c>
      <c r="M29" s="1532"/>
      <c r="N29" s="1532"/>
      <c r="O29" s="1532"/>
      <c r="P29" s="1532"/>
      <c r="Q29" s="1532"/>
      <c r="R29" s="1532"/>
      <c r="S29" s="1532"/>
    </row>
    <row r="30" spans="1:19">
      <c r="A30" s="1352"/>
      <c r="B30" s="1398"/>
      <c r="C30" s="1398"/>
      <c r="D30" s="1398"/>
      <c r="E30" s="1352"/>
      <c r="F30" s="1352"/>
      <c r="G30" s="1352"/>
      <c r="H30" s="1352"/>
      <c r="I30" s="1352"/>
      <c r="J30" s="238"/>
      <c r="K30" s="1398"/>
      <c r="L30" s="1532"/>
      <c r="M30" s="1532"/>
      <c r="N30" s="1532"/>
      <c r="O30" s="1532"/>
      <c r="P30" s="1532"/>
      <c r="Q30" s="1532"/>
      <c r="R30" s="1532"/>
      <c r="S30" s="1532"/>
    </row>
    <row r="31" spans="1:19" ht="35.25" customHeight="1">
      <c r="A31" s="2708"/>
      <c r="B31" s="2724" t="s">
        <v>3117</v>
      </c>
      <c r="C31" s="2726"/>
      <c r="D31" s="1900" t="s">
        <v>3102</v>
      </c>
      <c r="E31" s="1765" t="s">
        <v>3118</v>
      </c>
      <c r="F31" s="1724">
        <f>ROUND(20400*Belarus*(1-C42),2)</f>
        <v>20400</v>
      </c>
      <c r="G31" s="1724"/>
      <c r="H31" s="1724"/>
      <c r="I31" s="1724"/>
      <c r="J31" s="46"/>
      <c r="K31" s="1398"/>
      <c r="L31" s="1532"/>
      <c r="M31" s="1532"/>
      <c r="N31" s="1532"/>
      <c r="O31" s="1532"/>
      <c r="P31" s="1532"/>
      <c r="Q31" s="1532"/>
      <c r="R31" s="1532"/>
      <c r="S31" s="1532"/>
    </row>
    <row r="32" spans="1:19" ht="30.75" customHeight="1">
      <c r="A32" s="2709"/>
      <c r="B32" s="2727"/>
      <c r="C32" s="2729"/>
      <c r="D32" s="1901"/>
      <c r="E32" s="1455"/>
      <c r="F32" s="1724"/>
      <c r="G32" s="1724"/>
      <c r="H32" s="1724"/>
      <c r="I32" s="1724"/>
      <c r="J32" s="46"/>
      <c r="K32" s="1398" t="s">
        <v>3119</v>
      </c>
      <c r="L32" s="1532" t="s">
        <v>3120</v>
      </c>
      <c r="M32" s="1532"/>
      <c r="N32" s="1532"/>
      <c r="O32" s="1532"/>
      <c r="P32" s="1532"/>
      <c r="Q32" s="1532"/>
      <c r="R32" s="1532"/>
      <c r="S32" s="1532"/>
    </row>
    <row r="33" spans="1:19" ht="29.25" customHeight="1">
      <c r="A33" s="2708"/>
      <c r="B33" s="2724" t="s">
        <v>3121</v>
      </c>
      <c r="C33" s="2726"/>
      <c r="D33" s="1900" t="s">
        <v>3122</v>
      </c>
      <c r="E33" s="1455"/>
      <c r="F33" s="1724">
        <f>ROUND(20980*Belarus*(1-C42),2)</f>
        <v>20980</v>
      </c>
      <c r="G33" s="1724"/>
      <c r="H33" s="1724"/>
      <c r="I33" s="1724"/>
      <c r="J33" s="46"/>
      <c r="K33" s="1398"/>
      <c r="L33" s="1532"/>
      <c r="M33" s="1532"/>
      <c r="N33" s="1532"/>
      <c r="O33" s="1532"/>
      <c r="P33" s="1532"/>
      <c r="Q33" s="1532"/>
      <c r="R33" s="1532"/>
      <c r="S33" s="1532"/>
    </row>
    <row r="34" spans="1:19" ht="29.25" customHeight="1">
      <c r="A34" s="2709"/>
      <c r="B34" s="2727"/>
      <c r="C34" s="2729"/>
      <c r="D34" s="1901"/>
      <c r="E34" s="1456"/>
      <c r="F34" s="1724"/>
      <c r="G34" s="1724"/>
      <c r="H34" s="1724"/>
      <c r="I34" s="1724"/>
      <c r="J34" s="46"/>
      <c r="K34" s="1398"/>
      <c r="L34" s="1532"/>
      <c r="M34" s="1532"/>
      <c r="N34" s="1532"/>
      <c r="O34" s="1532"/>
      <c r="P34" s="1532"/>
      <c r="Q34" s="1532"/>
      <c r="R34" s="1532"/>
      <c r="S34" s="1532"/>
    </row>
    <row r="35" spans="1:19" ht="28.5" customHeight="1">
      <c r="A35" s="2708"/>
      <c r="B35" s="2724" t="s">
        <v>3123</v>
      </c>
      <c r="C35" s="2726"/>
      <c r="D35" s="1765" t="s">
        <v>3124</v>
      </c>
      <c r="E35" s="1765" t="s">
        <v>3118</v>
      </c>
      <c r="F35" s="1724">
        <f>ROUND(42753*Belarus*(1-C42),2)</f>
        <v>42753</v>
      </c>
      <c r="G35" s="1724"/>
      <c r="H35" s="1724"/>
      <c r="I35" s="1724"/>
      <c r="J35" s="46"/>
      <c r="K35" s="1388" t="s">
        <v>3125</v>
      </c>
      <c r="L35" s="1786" t="s">
        <v>3126</v>
      </c>
      <c r="M35" s="2212"/>
      <c r="N35" s="2212"/>
      <c r="O35" s="2212"/>
      <c r="P35" s="2212"/>
      <c r="Q35" s="2212"/>
      <c r="R35" s="2212"/>
      <c r="S35" s="1911"/>
    </row>
    <row r="36" spans="1:19" ht="28.5" customHeight="1">
      <c r="A36" s="2709"/>
      <c r="B36" s="2727"/>
      <c r="C36" s="2729"/>
      <c r="D36" s="1456"/>
      <c r="E36" s="1455"/>
      <c r="F36" s="1724"/>
      <c r="G36" s="1724"/>
      <c r="H36" s="1724"/>
      <c r="I36" s="1724"/>
      <c r="J36" s="46"/>
      <c r="K36" s="1388"/>
      <c r="L36" s="1914"/>
      <c r="M36" s="2213"/>
      <c r="N36" s="2213"/>
      <c r="O36" s="2213"/>
      <c r="P36" s="2213"/>
      <c r="Q36" s="2213"/>
      <c r="R36" s="2213"/>
      <c r="S36" s="1915"/>
    </row>
    <row r="37" spans="1:19" ht="57" customHeight="1">
      <c r="A37" s="386"/>
      <c r="B37" s="1465" t="s">
        <v>3127</v>
      </c>
      <c r="C37" s="1467"/>
      <c r="D37" s="103" t="s">
        <v>3124</v>
      </c>
      <c r="E37" s="1456"/>
      <c r="F37" s="1724">
        <f>ROUND(45741*Belarus*(1-C42),2)</f>
        <v>45741</v>
      </c>
      <c r="G37" s="1724"/>
      <c r="H37" s="1724"/>
      <c r="I37" s="1724"/>
      <c r="J37" s="46"/>
      <c r="K37" s="1398" t="s">
        <v>3128</v>
      </c>
      <c r="L37" s="2179" t="s">
        <v>3129</v>
      </c>
      <c r="M37" s="2180"/>
      <c r="N37" s="2180"/>
      <c r="O37" s="2180"/>
      <c r="P37" s="2180"/>
      <c r="Q37" s="2180"/>
      <c r="R37" s="2180"/>
      <c r="S37" s="2181"/>
    </row>
    <row r="38" spans="1:19">
      <c r="A38" s="1303" t="s">
        <v>3130</v>
      </c>
      <c r="B38" s="1304"/>
      <c r="C38" s="1357"/>
      <c r="D38" s="1304"/>
      <c r="E38" s="1304"/>
      <c r="F38" s="1304"/>
      <c r="G38" s="1304"/>
      <c r="H38" s="1304"/>
      <c r="I38" s="1305"/>
      <c r="J38" s="46"/>
      <c r="K38" s="1398"/>
      <c r="L38" s="2607"/>
      <c r="M38" s="2608"/>
      <c r="N38" s="2608"/>
      <c r="O38" s="2608"/>
      <c r="P38" s="2608"/>
      <c r="Q38" s="2608"/>
      <c r="R38" s="2608"/>
      <c r="S38" s="2609"/>
    </row>
    <row r="39" spans="1:19" ht="12.75" customHeight="1">
      <c r="A39" s="1303" t="s">
        <v>3131</v>
      </c>
      <c r="B39" s="1304"/>
      <c r="C39" s="1304"/>
      <c r="D39" s="1304"/>
      <c r="E39" s="1304"/>
      <c r="F39" s="1304"/>
      <c r="G39" s="1304"/>
      <c r="H39" s="1304"/>
      <c r="I39" s="1305"/>
      <c r="J39" s="46"/>
      <c r="K39" s="1398"/>
      <c r="L39" s="2182"/>
      <c r="M39" s="2183"/>
      <c r="N39" s="2183"/>
      <c r="O39" s="2183"/>
      <c r="P39" s="2183"/>
      <c r="Q39" s="2183"/>
      <c r="R39" s="2183"/>
      <c r="S39" s="2184"/>
    </row>
    <row r="40" spans="1:19">
      <c r="A40" s="46"/>
      <c r="B40" s="46"/>
      <c r="C40" s="46"/>
      <c r="D40" s="46"/>
      <c r="E40" s="46"/>
      <c r="F40" s="46"/>
      <c r="G40" s="46"/>
      <c r="H40" s="46"/>
      <c r="I40" s="46"/>
      <c r="J40" s="46"/>
      <c r="K40" s="46"/>
      <c r="L40" s="46"/>
      <c r="M40" s="46"/>
      <c r="N40" s="46"/>
      <c r="O40" s="46"/>
      <c r="P40" s="46"/>
      <c r="Q40" s="46"/>
      <c r="R40" s="46"/>
      <c r="S40" s="46"/>
    </row>
    <row r="41" spans="1:19">
      <c r="A41" s="46"/>
      <c r="B41" s="46"/>
      <c r="C41" s="46"/>
      <c r="D41" s="46"/>
      <c r="E41" s="46"/>
      <c r="F41" s="46"/>
      <c r="G41" s="46"/>
      <c r="H41" s="46"/>
      <c r="I41" s="46"/>
      <c r="J41" s="46"/>
      <c r="K41" s="46"/>
      <c r="L41" s="46"/>
      <c r="M41" s="46"/>
      <c r="N41" s="46"/>
      <c r="O41" s="46"/>
      <c r="P41" s="46"/>
      <c r="Q41" s="46"/>
      <c r="R41" s="46"/>
      <c r="S41" s="46"/>
    </row>
    <row r="42" spans="1:19">
      <c r="A42" s="2519" t="s">
        <v>1835</v>
      </c>
      <c r="B42" s="2519"/>
      <c r="C42" s="2618">
        <v>0</v>
      </c>
      <c r="D42" s="46"/>
      <c r="E42" s="46"/>
      <c r="F42" s="46"/>
      <c r="G42" s="46"/>
      <c r="H42" s="46"/>
      <c r="I42" s="46"/>
      <c r="J42" s="46"/>
      <c r="K42" s="46"/>
      <c r="L42" s="46"/>
      <c r="M42" s="46"/>
      <c r="N42" s="46"/>
      <c r="O42" s="46"/>
      <c r="P42" s="46"/>
      <c r="Q42" s="46"/>
      <c r="R42" s="46"/>
      <c r="S42" s="46"/>
    </row>
    <row r="43" spans="1:19">
      <c r="A43" s="2519"/>
      <c r="B43" s="2519"/>
      <c r="C43" s="2619"/>
      <c r="D43" s="46"/>
      <c r="E43" s="46"/>
      <c r="F43" s="46"/>
      <c r="G43" s="46"/>
      <c r="H43" s="46"/>
      <c r="I43" s="46"/>
      <c r="J43" s="46"/>
      <c r="K43" s="46"/>
      <c r="L43" s="46"/>
      <c r="M43" s="46"/>
      <c r="N43" s="46"/>
      <c r="O43" s="46"/>
      <c r="P43" s="46"/>
      <c r="Q43" s="46"/>
      <c r="R43" s="46"/>
      <c r="S43" s="46"/>
    </row>
  </sheetData>
  <sheetProtection selectLockedCells="1" selectUnlockedCells="1"/>
  <mergeCells count="135">
    <mergeCell ref="A1:D1"/>
    <mergeCell ref="A2:M2"/>
    <mergeCell ref="R2:S2"/>
    <mergeCell ref="R3:S3"/>
    <mergeCell ref="A4:A5"/>
    <mergeCell ref="B4:B5"/>
    <mergeCell ref="C4:C5"/>
    <mergeCell ref="D4:D5"/>
    <mergeCell ref="E4:E5"/>
    <mergeCell ref="F4:I4"/>
    <mergeCell ref="K4:K5"/>
    <mergeCell ref="L4:L5"/>
    <mergeCell ref="M4:M5"/>
    <mergeCell ref="N4:N5"/>
    <mergeCell ref="O4:O5"/>
    <mergeCell ref="P4:S4"/>
    <mergeCell ref="F5:I5"/>
    <mergeCell ref="P5:S5"/>
    <mergeCell ref="A6:A10"/>
    <mergeCell ref="B6:B10"/>
    <mergeCell ref="C6:C9"/>
    <mergeCell ref="F6:I6"/>
    <mergeCell ref="K6:K9"/>
    <mergeCell ref="L6:L9"/>
    <mergeCell ref="M6:M9"/>
    <mergeCell ref="P6:S6"/>
    <mergeCell ref="F7:I7"/>
    <mergeCell ref="P7:S7"/>
    <mergeCell ref="F8:I8"/>
    <mergeCell ref="P8:S8"/>
    <mergeCell ref="F9:I9"/>
    <mergeCell ref="P9:S9"/>
    <mergeCell ref="P12:S12"/>
    <mergeCell ref="F10:I10"/>
    <mergeCell ref="A12:A13"/>
    <mergeCell ref="B12:B13"/>
    <mergeCell ref="C12:C13"/>
    <mergeCell ref="D12:D13"/>
    <mergeCell ref="E12:E13"/>
    <mergeCell ref="F12:I12"/>
    <mergeCell ref="K12:K13"/>
    <mergeCell ref="L12:L13"/>
    <mergeCell ref="M12:M13"/>
    <mergeCell ref="N12:N13"/>
    <mergeCell ref="O12:O13"/>
    <mergeCell ref="H14:H15"/>
    <mergeCell ref="I14:I15"/>
    <mergeCell ref="K14:K18"/>
    <mergeCell ref="L14:L18"/>
    <mergeCell ref="M14:M18"/>
    <mergeCell ref="N14:N15"/>
    <mergeCell ref="A14:A19"/>
    <mergeCell ref="B14:B19"/>
    <mergeCell ref="C14:C19"/>
    <mergeCell ref="D14:D15"/>
    <mergeCell ref="E14:E15"/>
    <mergeCell ref="F14:F15"/>
    <mergeCell ref="Q14:Q15"/>
    <mergeCell ref="R14:R15"/>
    <mergeCell ref="S14:S15"/>
    <mergeCell ref="D17:D18"/>
    <mergeCell ref="G17:G18"/>
    <mergeCell ref="N17:N18"/>
    <mergeCell ref="P17:P18"/>
    <mergeCell ref="Q17:Q18"/>
    <mergeCell ref="G14:G15"/>
    <mergeCell ref="C21:D21"/>
    <mergeCell ref="F21:I21"/>
    <mergeCell ref="L21:M21"/>
    <mergeCell ref="P21:Q21"/>
    <mergeCell ref="R21:S21"/>
    <mergeCell ref="A22:A23"/>
    <mergeCell ref="B22:B23"/>
    <mergeCell ref="C22:D23"/>
    <mergeCell ref="E22:E23"/>
    <mergeCell ref="F22:I23"/>
    <mergeCell ref="K22:K23"/>
    <mergeCell ref="L22:M22"/>
    <mergeCell ref="P22:Q22"/>
    <mergeCell ref="R22:S22"/>
    <mergeCell ref="L23:M23"/>
    <mergeCell ref="P23:Q23"/>
    <mergeCell ref="R23:S23"/>
    <mergeCell ref="A24:I24"/>
    <mergeCell ref="K24:K27"/>
    <mergeCell ref="L24:M25"/>
    <mergeCell ref="N24:N25"/>
    <mergeCell ref="O24:O25"/>
    <mergeCell ref="P24:Q25"/>
    <mergeCell ref="R24:S25"/>
    <mergeCell ref="A25:A27"/>
    <mergeCell ref="B25:B27"/>
    <mergeCell ref="C25:D27"/>
    <mergeCell ref="E25:E27"/>
    <mergeCell ref="F25:I27"/>
    <mergeCell ref="L26:M27"/>
    <mergeCell ref="N26:N27"/>
    <mergeCell ref="O26:O27"/>
    <mergeCell ref="P26:Q27"/>
    <mergeCell ref="R26:S27"/>
    <mergeCell ref="C28:D28"/>
    <mergeCell ref="F28:I28"/>
    <mergeCell ref="A29:A30"/>
    <mergeCell ref="B29:C30"/>
    <mergeCell ref="D29:D30"/>
    <mergeCell ref="E29:E30"/>
    <mergeCell ref="F29:I30"/>
    <mergeCell ref="K29:K31"/>
    <mergeCell ref="L29:S31"/>
    <mergeCell ref="A31:A32"/>
    <mergeCell ref="B31:C32"/>
    <mergeCell ref="D31:D32"/>
    <mergeCell ref="E31:E34"/>
    <mergeCell ref="F31:I32"/>
    <mergeCell ref="K32:K34"/>
    <mergeCell ref="L32:S34"/>
    <mergeCell ref="A33:A34"/>
    <mergeCell ref="B33:C34"/>
    <mergeCell ref="D33:D34"/>
    <mergeCell ref="F33:I34"/>
    <mergeCell ref="A35:A36"/>
    <mergeCell ref="B35:C36"/>
    <mergeCell ref="D35:D36"/>
    <mergeCell ref="E35:E37"/>
    <mergeCell ref="F35:I36"/>
    <mergeCell ref="A42:B43"/>
    <mergeCell ref="C42:C43"/>
    <mergeCell ref="K35:K36"/>
    <mergeCell ref="L35:S36"/>
    <mergeCell ref="B37:C37"/>
    <mergeCell ref="F37:I37"/>
    <mergeCell ref="K37:K39"/>
    <mergeCell ref="L37:S39"/>
    <mergeCell ref="A38:I38"/>
    <mergeCell ref="A39:I39"/>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55"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45</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pageSetUpPr fitToPage="1"/>
  </sheetPr>
  <dimension ref="A1:Y43"/>
  <sheetViews>
    <sheetView topLeftCell="B1" zoomScale="70" zoomScaleNormal="70" zoomScaleSheetLayoutView="25" workbookViewId="0">
      <selection activeCell="A2" sqref="A2:Q2"/>
    </sheetView>
  </sheetViews>
  <sheetFormatPr defaultRowHeight="12.75"/>
  <cols>
    <col min="1" max="1" width="15.140625" style="1" customWidth="1"/>
    <col min="2" max="2" width="18.28515625" style="1" customWidth="1"/>
    <col min="3" max="3" width="18" style="1" customWidth="1"/>
    <col min="4" max="5" width="7.42578125" style="1" customWidth="1"/>
    <col min="6" max="11" width="5" style="1" customWidth="1"/>
    <col min="12" max="12" width="10.7109375" style="583" customWidth="1"/>
    <col min="13" max="13" width="1.85546875" style="1" customWidth="1"/>
    <col min="14" max="14" width="20.28515625" style="1" customWidth="1"/>
    <col min="15" max="15" width="14.42578125" style="1" customWidth="1"/>
    <col min="16" max="16" width="18.140625" style="1" customWidth="1"/>
    <col min="17" max="17" width="9" style="1" customWidth="1"/>
    <col min="18" max="18" width="8.85546875" style="1" customWidth="1"/>
    <col min="19" max="19" width="8.42578125" style="1" customWidth="1"/>
    <col min="20" max="22" width="4.7109375" style="1" customWidth="1"/>
    <col min="23" max="24" width="5.5703125" style="1" customWidth="1"/>
    <col min="25" max="25" width="12.7109375" style="1" customWidth="1"/>
    <col min="26" max="16384" width="9.140625" style="1"/>
  </cols>
  <sheetData>
    <row r="1" spans="1:25">
      <c r="A1" s="1666" t="s">
        <v>312</v>
      </c>
      <c r="B1" s="1666"/>
      <c r="C1" s="1666"/>
      <c r="D1" s="1666"/>
      <c r="E1" s="46"/>
      <c r="F1" s="46"/>
      <c r="G1" s="46"/>
      <c r="H1" s="46"/>
    </row>
    <row r="2" spans="1:25" ht="18.75" thickBot="1">
      <c r="A2" s="1851" t="s">
        <v>96</v>
      </c>
      <c r="B2" s="1851"/>
      <c r="C2" s="1851"/>
      <c r="D2" s="1851"/>
      <c r="E2" s="1851"/>
      <c r="F2" s="1851"/>
      <c r="G2" s="1851"/>
      <c r="H2" s="1851"/>
      <c r="I2" s="1851"/>
      <c r="J2" s="1851"/>
      <c r="K2" s="1851"/>
      <c r="L2" s="1851"/>
      <c r="M2" s="1851"/>
      <c r="N2" s="1851"/>
      <c r="O2" s="1851"/>
      <c r="P2" s="1851"/>
      <c r="Q2" s="1851"/>
      <c r="R2" s="741"/>
      <c r="S2" s="741"/>
      <c r="T2" s="741"/>
      <c r="U2" s="741"/>
      <c r="V2" s="741"/>
      <c r="W2" s="741"/>
      <c r="X2" s="734" t="s">
        <v>313</v>
      </c>
      <c r="Y2" s="744">
        <v>43213</v>
      </c>
    </row>
    <row r="3" spans="1:25">
      <c r="T3" s="2842" t="s">
        <v>804</v>
      </c>
      <c r="U3" s="2842"/>
      <c r="V3" s="2842"/>
      <c r="W3" s="2842"/>
      <c r="X3" s="2842"/>
      <c r="Y3" s="584">
        <v>43213</v>
      </c>
    </row>
    <row r="4" spans="1:25" ht="14.25" customHeight="1">
      <c r="A4" s="1794" t="s">
        <v>307</v>
      </c>
      <c r="B4" s="1794" t="s">
        <v>1452</v>
      </c>
      <c r="C4" s="1794" t="s">
        <v>1405</v>
      </c>
      <c r="D4" s="1794" t="s">
        <v>3132</v>
      </c>
      <c r="E4" s="1278"/>
      <c r="F4" s="1794" t="s">
        <v>1548</v>
      </c>
      <c r="G4" s="1794"/>
      <c r="H4" s="1794"/>
      <c r="I4" s="1794"/>
      <c r="J4" s="1794"/>
      <c r="K4" s="1794"/>
      <c r="L4" s="2841" t="s">
        <v>624</v>
      </c>
      <c r="N4" s="1794" t="s">
        <v>307</v>
      </c>
      <c r="O4" s="1794" t="s">
        <v>1452</v>
      </c>
      <c r="P4" s="1794" t="s">
        <v>1405</v>
      </c>
      <c r="Q4" s="1794" t="s">
        <v>3132</v>
      </c>
      <c r="R4" s="1278"/>
      <c r="S4" s="1278"/>
      <c r="T4" s="1794" t="s">
        <v>1548</v>
      </c>
      <c r="U4" s="1794"/>
      <c r="V4" s="1794"/>
      <c r="W4" s="1794"/>
      <c r="X4" s="1794"/>
      <c r="Y4" s="2841" t="s">
        <v>624</v>
      </c>
    </row>
    <row r="5" spans="1:25">
      <c r="A5" s="1794"/>
      <c r="B5" s="1794"/>
      <c r="C5" s="1794"/>
      <c r="D5" s="40" t="s">
        <v>3133</v>
      </c>
      <c r="E5" s="40" t="s">
        <v>3134</v>
      </c>
      <c r="F5" s="1794"/>
      <c r="G5" s="1794"/>
      <c r="H5" s="1794"/>
      <c r="I5" s="1794"/>
      <c r="J5" s="1794"/>
      <c r="K5" s="1794"/>
      <c r="L5" s="2841"/>
      <c r="N5" s="1794"/>
      <c r="O5" s="1794"/>
      <c r="P5" s="1794"/>
      <c r="Q5" s="1794" t="s">
        <v>3133</v>
      </c>
      <c r="R5" s="1794"/>
      <c r="S5" s="40" t="s">
        <v>3134</v>
      </c>
      <c r="T5" s="1794"/>
      <c r="U5" s="1794"/>
      <c r="V5" s="1794"/>
      <c r="W5" s="1794"/>
      <c r="X5" s="1794"/>
      <c r="Y5" s="2841"/>
    </row>
    <row r="6" spans="1:25" ht="26.25" customHeight="1">
      <c r="A6" s="2048" t="s">
        <v>3135</v>
      </c>
      <c r="B6" s="2827"/>
      <c r="C6" s="2797" t="s">
        <v>3136</v>
      </c>
      <c r="D6" s="1530" t="s">
        <v>3137</v>
      </c>
      <c r="E6" s="1530" t="s">
        <v>3138</v>
      </c>
      <c r="F6" s="1761" t="s">
        <v>284</v>
      </c>
      <c r="G6" s="1761"/>
      <c r="H6" s="1761"/>
      <c r="I6" s="1761" t="s">
        <v>3139</v>
      </c>
      <c r="J6" s="1761"/>
      <c r="K6" s="1761"/>
      <c r="L6" s="2832">
        <f>ROUND(6250*Belarus*(1-C42),2)</f>
        <v>6250</v>
      </c>
      <c r="N6" s="2048" t="s">
        <v>3140</v>
      </c>
      <c r="O6" s="2048"/>
      <c r="P6" s="2797" t="s">
        <v>3141</v>
      </c>
      <c r="Q6" s="1530" t="s">
        <v>3142</v>
      </c>
      <c r="R6" s="1530"/>
      <c r="S6" s="1539" t="s">
        <v>3143</v>
      </c>
      <c r="T6" s="1761" t="s">
        <v>284</v>
      </c>
      <c r="U6" s="1761"/>
      <c r="V6" s="1761"/>
      <c r="W6" s="1761" t="s">
        <v>3144</v>
      </c>
      <c r="X6" s="1761"/>
      <c r="Y6" s="2832">
        <f>ROUND(900*Belarus*(1-C42),2)</f>
        <v>900</v>
      </c>
    </row>
    <row r="7" spans="1:25" ht="17.25" customHeight="1">
      <c r="A7" s="2048"/>
      <c r="B7" s="2828"/>
      <c r="C7" s="2797"/>
      <c r="D7" s="1530"/>
      <c r="E7" s="1530"/>
      <c r="F7" s="1761" t="s">
        <v>3061</v>
      </c>
      <c r="G7" s="1761"/>
      <c r="H7" s="1761"/>
      <c r="I7" s="1761" t="s">
        <v>3145</v>
      </c>
      <c r="J7" s="1761"/>
      <c r="K7" s="1761"/>
      <c r="L7" s="2833"/>
      <c r="N7" s="2048"/>
      <c r="O7" s="2048"/>
      <c r="P7" s="2797"/>
      <c r="Q7" s="1530"/>
      <c r="R7" s="1530"/>
      <c r="S7" s="1539"/>
      <c r="T7" s="1761"/>
      <c r="U7" s="1761"/>
      <c r="V7" s="1761"/>
      <c r="W7" s="1761"/>
      <c r="X7" s="1761"/>
      <c r="Y7" s="2834"/>
    </row>
    <row r="8" spans="1:25" ht="17.25" customHeight="1">
      <c r="A8" s="2048"/>
      <c r="B8" s="2828"/>
      <c r="C8" s="2797"/>
      <c r="D8" s="1530"/>
      <c r="E8" s="1530"/>
      <c r="F8" s="1761" t="s">
        <v>3063</v>
      </c>
      <c r="G8" s="1761"/>
      <c r="H8" s="1761"/>
      <c r="I8" s="1761" t="s">
        <v>3064</v>
      </c>
      <c r="J8" s="1761"/>
      <c r="K8" s="1761"/>
      <c r="L8" s="2833"/>
      <c r="N8" s="2048" t="s">
        <v>3146</v>
      </c>
      <c r="O8" s="2048"/>
      <c r="P8" s="2797" t="s">
        <v>3147</v>
      </c>
      <c r="Q8" s="1530" t="s">
        <v>3068</v>
      </c>
      <c r="R8" s="1530"/>
      <c r="S8" s="1530"/>
      <c r="T8" s="1530"/>
      <c r="U8" s="1530"/>
      <c r="V8" s="1530"/>
      <c r="W8" s="1530"/>
      <c r="X8" s="1530"/>
      <c r="Y8" s="2819">
        <f>ROUND(160*Belarus*(1-C42),2)</f>
        <v>160</v>
      </c>
    </row>
    <row r="9" spans="1:25" ht="17.25" customHeight="1">
      <c r="A9" s="2048"/>
      <c r="B9" s="2828"/>
      <c r="C9" s="2797"/>
      <c r="D9" s="1530"/>
      <c r="E9" s="1530"/>
      <c r="F9" s="1761" t="s">
        <v>3065</v>
      </c>
      <c r="G9" s="1761"/>
      <c r="H9" s="1761"/>
      <c r="I9" s="1761" t="s">
        <v>3066</v>
      </c>
      <c r="J9" s="1761"/>
      <c r="K9" s="1761"/>
      <c r="L9" s="2834"/>
      <c r="N9" s="2048"/>
      <c r="O9" s="2048"/>
      <c r="P9" s="2797"/>
      <c r="Q9" s="1530"/>
      <c r="R9" s="1530"/>
      <c r="S9" s="1530"/>
      <c r="T9" s="1530"/>
      <c r="U9" s="1530"/>
      <c r="V9" s="1530"/>
      <c r="W9" s="1530"/>
      <c r="X9" s="1530"/>
      <c r="Y9" s="2821"/>
    </row>
    <row r="10" spans="1:25" ht="25.5" customHeight="1">
      <c r="A10" s="2048"/>
      <c r="B10" s="2829"/>
      <c r="C10" s="577" t="s">
        <v>3148</v>
      </c>
      <c r="D10" s="103" t="s">
        <v>3142</v>
      </c>
      <c r="E10" s="103" t="s">
        <v>3137</v>
      </c>
      <c r="F10" s="1761" t="s">
        <v>3149</v>
      </c>
      <c r="G10" s="1761"/>
      <c r="H10" s="1761"/>
      <c r="I10" s="1761" t="s">
        <v>3150</v>
      </c>
      <c r="J10" s="1761"/>
      <c r="K10" s="1761"/>
      <c r="L10" s="880">
        <f>ROUND(1040*Belarus*(1-C42),2)</f>
        <v>1040</v>
      </c>
      <c r="N10" s="2049" t="s">
        <v>3151</v>
      </c>
      <c r="O10" s="2048"/>
      <c r="P10" s="577" t="s">
        <v>3152</v>
      </c>
      <c r="Q10" s="2814" t="s">
        <v>3153</v>
      </c>
      <c r="R10" s="2814"/>
      <c r="S10" s="2814"/>
      <c r="T10" s="1761" t="s">
        <v>3154</v>
      </c>
      <c r="U10" s="1761"/>
      <c r="V10" s="1761"/>
      <c r="W10" s="1761"/>
      <c r="X10" s="1761"/>
      <c r="Y10" s="903">
        <f>ROUND(1150*Belarus*(1-C42),2)</f>
        <v>1150</v>
      </c>
    </row>
    <row r="11" spans="1:25" ht="15.75" customHeight="1">
      <c r="A11" s="2048" t="s">
        <v>3155</v>
      </c>
      <c r="B11" s="2827"/>
      <c r="C11" s="2797" t="s">
        <v>3156</v>
      </c>
      <c r="D11" s="1530" t="s">
        <v>3137</v>
      </c>
      <c r="E11" s="1530" t="s">
        <v>3138</v>
      </c>
      <c r="F11" s="1761" t="s">
        <v>284</v>
      </c>
      <c r="G11" s="1761"/>
      <c r="H11" s="1761"/>
      <c r="I11" s="1297">
        <v>6005</v>
      </c>
      <c r="J11" s="1297"/>
      <c r="K11" s="1297"/>
      <c r="L11" s="2832">
        <f>ROUND(15750*Belarus*(1-C42),2)</f>
        <v>15750</v>
      </c>
      <c r="N11" s="2822"/>
      <c r="O11" s="2048"/>
      <c r="P11" s="577" t="s">
        <v>3157</v>
      </c>
      <c r="Q11" s="2814"/>
      <c r="R11" s="2814"/>
      <c r="S11" s="2814"/>
      <c r="T11" s="1761"/>
      <c r="U11" s="1761"/>
      <c r="V11" s="1761"/>
      <c r="W11" s="1761"/>
      <c r="X11" s="1761"/>
      <c r="Y11" s="903">
        <f>ROUND(1450*Belarus*(1-C42),2)</f>
        <v>1450</v>
      </c>
    </row>
    <row r="12" spans="1:25" ht="18.75" customHeight="1">
      <c r="A12" s="2048"/>
      <c r="B12" s="2828"/>
      <c r="C12" s="2797"/>
      <c r="D12" s="1530"/>
      <c r="E12" s="1530"/>
      <c r="F12" s="1761" t="s">
        <v>3061</v>
      </c>
      <c r="G12" s="1761"/>
      <c r="H12" s="1761"/>
      <c r="I12" s="1761" t="s">
        <v>3158</v>
      </c>
      <c r="J12" s="1761"/>
      <c r="K12" s="1761"/>
      <c r="L12" s="2833"/>
      <c r="N12" s="2822"/>
      <c r="O12" s="2048"/>
      <c r="P12" s="577" t="s">
        <v>3159</v>
      </c>
      <c r="Q12" s="2814" t="s">
        <v>326</v>
      </c>
      <c r="R12" s="2814"/>
      <c r="S12" s="2814"/>
      <c r="T12" s="1761" t="s">
        <v>3154</v>
      </c>
      <c r="U12" s="1761"/>
      <c r="V12" s="1761"/>
      <c r="W12" s="1761"/>
      <c r="X12" s="1761"/>
      <c r="Y12" s="903">
        <f>ROUND(1000*Belarus*(1-C42),2)</f>
        <v>1000</v>
      </c>
    </row>
    <row r="13" spans="1:25" ht="15.75" customHeight="1">
      <c r="A13" s="2048"/>
      <c r="B13" s="2828"/>
      <c r="C13" s="2797"/>
      <c r="D13" s="1530"/>
      <c r="E13" s="1530"/>
      <c r="F13" s="1761" t="s">
        <v>3063</v>
      </c>
      <c r="G13" s="1761"/>
      <c r="H13" s="1761"/>
      <c r="I13" s="1761" t="s">
        <v>3064</v>
      </c>
      <c r="J13" s="1761"/>
      <c r="K13" s="1761"/>
      <c r="L13" s="2833"/>
      <c r="N13" s="2822"/>
      <c r="O13" s="2048"/>
      <c r="P13" s="577" t="s">
        <v>3160</v>
      </c>
      <c r="Q13" s="2814"/>
      <c r="R13" s="2814"/>
      <c r="S13" s="2814"/>
      <c r="T13" s="1761"/>
      <c r="U13" s="1761"/>
      <c r="V13" s="1761"/>
      <c r="W13" s="1761"/>
      <c r="X13" s="1761"/>
      <c r="Y13" s="903">
        <f>ROUND(1900*Belarus*(1-C42),2)</f>
        <v>1900</v>
      </c>
    </row>
    <row r="14" spans="1:25" ht="15.75" customHeight="1">
      <c r="A14" s="2048"/>
      <c r="B14" s="2828"/>
      <c r="C14" s="2797"/>
      <c r="D14" s="1530"/>
      <c r="E14" s="1530"/>
      <c r="F14" s="1761" t="s">
        <v>3065</v>
      </c>
      <c r="G14" s="1761"/>
      <c r="H14" s="1761"/>
      <c r="I14" s="1297" t="s">
        <v>3066</v>
      </c>
      <c r="J14" s="1297"/>
      <c r="K14" s="1297"/>
      <c r="L14" s="2834"/>
      <c r="N14" s="2822"/>
      <c r="O14" s="2048"/>
      <c r="P14" s="2797" t="s">
        <v>3163</v>
      </c>
      <c r="Q14" s="2814" t="s">
        <v>3153</v>
      </c>
      <c r="R14" s="2814"/>
      <c r="S14" s="2814"/>
      <c r="T14" s="1761" t="s">
        <v>3164</v>
      </c>
      <c r="U14" s="1761"/>
      <c r="V14" s="1761"/>
      <c r="W14" s="1761"/>
      <c r="X14" s="1761"/>
      <c r="Y14" s="2819">
        <f>ROUND(400*Belarus*(1-C42),2)</f>
        <v>400</v>
      </c>
    </row>
    <row r="15" spans="1:25" ht="27" customHeight="1">
      <c r="A15" s="2048"/>
      <c r="B15" s="2829"/>
      <c r="C15" s="577" t="s">
        <v>3148</v>
      </c>
      <c r="D15" s="103" t="s">
        <v>3142</v>
      </c>
      <c r="E15" s="103" t="s">
        <v>3137</v>
      </c>
      <c r="F15" s="1761" t="s">
        <v>3149</v>
      </c>
      <c r="G15" s="1761"/>
      <c r="H15" s="1761"/>
      <c r="I15" s="1761" t="s">
        <v>3150</v>
      </c>
      <c r="J15" s="1761"/>
      <c r="K15" s="1761"/>
      <c r="L15" s="880">
        <f>ROUND(1040*Belarus*(1-C42),2)</f>
        <v>1040</v>
      </c>
      <c r="N15" s="2822"/>
      <c r="O15" s="2048"/>
      <c r="P15" s="2797"/>
      <c r="Q15" s="2814"/>
      <c r="R15" s="2814"/>
      <c r="S15" s="2814"/>
      <c r="T15" s="1761"/>
      <c r="U15" s="1761"/>
      <c r="V15" s="1761"/>
      <c r="W15" s="1761"/>
      <c r="X15" s="1761"/>
      <c r="Y15" s="2821"/>
    </row>
    <row r="16" spans="1:25" ht="24.75" customHeight="1">
      <c r="A16" s="2048" t="s">
        <v>3161</v>
      </c>
      <c r="B16" s="1765"/>
      <c r="C16" s="2797" t="s">
        <v>3162</v>
      </c>
      <c r="D16" s="1530" t="s">
        <v>3137</v>
      </c>
      <c r="E16" s="1530"/>
      <c r="F16" s="1761" t="s">
        <v>284</v>
      </c>
      <c r="G16" s="1761"/>
      <c r="H16" s="1761"/>
      <c r="I16" s="1297">
        <v>6005.9004999999997</v>
      </c>
      <c r="J16" s="1297"/>
      <c r="K16" s="1297"/>
      <c r="L16" s="2832">
        <f>ROUND(3900*Belarus*(1-C42),2)</f>
        <v>3900</v>
      </c>
      <c r="N16" s="2049" t="s">
        <v>3167</v>
      </c>
      <c r="O16" s="2049"/>
      <c r="P16" s="2838" t="s">
        <v>3168</v>
      </c>
      <c r="Q16" s="1530" t="s">
        <v>3169</v>
      </c>
      <c r="R16" s="1530"/>
      <c r="S16" s="1530"/>
      <c r="T16" s="1761" t="s">
        <v>3170</v>
      </c>
      <c r="U16" s="1761"/>
      <c r="V16" s="1761"/>
      <c r="W16" s="1761"/>
      <c r="X16" s="1761"/>
      <c r="Y16" s="2839">
        <f>ROUND(490*Belarus*(1-C42),2)</f>
        <v>490</v>
      </c>
    </row>
    <row r="17" spans="1:25" ht="24.75" customHeight="1">
      <c r="A17" s="2048"/>
      <c r="B17" s="1455"/>
      <c r="C17" s="2797"/>
      <c r="D17" s="1530"/>
      <c r="E17" s="1530"/>
      <c r="F17" s="1761" t="s">
        <v>3061</v>
      </c>
      <c r="G17" s="1761"/>
      <c r="H17" s="1761"/>
      <c r="I17" s="1761" t="s">
        <v>3165</v>
      </c>
      <c r="J17" s="1761"/>
      <c r="K17" s="1761"/>
      <c r="L17" s="2833"/>
      <c r="N17" s="2822"/>
      <c r="O17" s="2822"/>
      <c r="P17" s="2838"/>
      <c r="Q17" s="1530"/>
      <c r="R17" s="1530"/>
      <c r="S17" s="1530"/>
      <c r="T17" s="1761"/>
      <c r="U17" s="1761"/>
      <c r="V17" s="1761"/>
      <c r="W17" s="1761"/>
      <c r="X17" s="1761"/>
      <c r="Y17" s="2840"/>
    </row>
    <row r="18" spans="1:25" ht="21" customHeight="1">
      <c r="A18" s="2048"/>
      <c r="B18" s="1455"/>
      <c r="C18" s="2797"/>
      <c r="D18" s="1530"/>
      <c r="E18" s="1530"/>
      <c r="F18" s="1761" t="s">
        <v>3063</v>
      </c>
      <c r="G18" s="1761"/>
      <c r="H18" s="1761"/>
      <c r="I18" s="1761" t="s">
        <v>3166</v>
      </c>
      <c r="J18" s="1761"/>
      <c r="K18" s="1761"/>
      <c r="L18" s="2833"/>
      <c r="N18" s="2822"/>
      <c r="O18" s="2822"/>
      <c r="P18" s="2838" t="s">
        <v>3171</v>
      </c>
      <c r="Q18" s="1530"/>
      <c r="R18" s="1530"/>
      <c r="S18" s="1530"/>
      <c r="T18" s="1761"/>
      <c r="U18" s="1761"/>
      <c r="V18" s="1761"/>
      <c r="W18" s="1761"/>
      <c r="X18" s="1761"/>
      <c r="Y18" s="2819">
        <f>ROUND(550*Belarus*(1-C42),2)</f>
        <v>550</v>
      </c>
    </row>
    <row r="19" spans="1:25" ht="21" customHeight="1">
      <c r="A19" s="2048"/>
      <c r="B19" s="1455"/>
      <c r="C19" s="2797"/>
      <c r="D19" s="1530"/>
      <c r="E19" s="1530"/>
      <c r="F19" s="1761" t="s">
        <v>3065</v>
      </c>
      <c r="G19" s="1761"/>
      <c r="H19" s="1761"/>
      <c r="I19" s="1761" t="s">
        <v>3066</v>
      </c>
      <c r="J19" s="1761"/>
      <c r="K19" s="1761"/>
      <c r="L19" s="2834"/>
      <c r="N19" s="2823"/>
      <c r="O19" s="2823"/>
      <c r="P19" s="2838"/>
      <c r="Q19" s="1530"/>
      <c r="R19" s="1530"/>
      <c r="S19" s="1530"/>
      <c r="T19" s="1761"/>
      <c r="U19" s="1761"/>
      <c r="V19" s="1761"/>
      <c r="W19" s="1761"/>
      <c r="X19" s="1761"/>
      <c r="Y19" s="2821"/>
    </row>
    <row r="20" spans="1:25" ht="26.25" customHeight="1">
      <c r="A20" s="2048"/>
      <c r="B20" s="1455"/>
      <c r="C20" s="2797" t="s">
        <v>3148</v>
      </c>
      <c r="D20" s="1530" t="s">
        <v>3142</v>
      </c>
      <c r="E20" s="1530" t="s">
        <v>3137</v>
      </c>
      <c r="F20" s="1761" t="s">
        <v>3149</v>
      </c>
      <c r="G20" s="1761"/>
      <c r="H20" s="1761"/>
      <c r="I20" s="1761" t="s">
        <v>3150</v>
      </c>
      <c r="J20" s="1761"/>
      <c r="K20" s="1761"/>
      <c r="L20" s="2832">
        <f>ROUND(1040*Belarus*(1-C42),2)</f>
        <v>1040</v>
      </c>
      <c r="N20" s="2048" t="s">
        <v>3175</v>
      </c>
      <c r="O20" s="2048"/>
      <c r="P20" s="2797" t="s">
        <v>3176</v>
      </c>
      <c r="Q20" s="1530" t="s">
        <v>3177</v>
      </c>
      <c r="R20" s="2835" t="s">
        <v>3178</v>
      </c>
      <c r="S20" s="2836" t="s">
        <v>3179</v>
      </c>
      <c r="T20" s="1761" t="s">
        <v>3180</v>
      </c>
      <c r="U20" s="1761"/>
      <c r="V20" s="1761"/>
      <c r="W20" s="1761"/>
      <c r="X20" s="1761"/>
      <c r="Y20" s="2819">
        <f>ROUND(1680*Belarus*(1-C42),2)</f>
        <v>1680</v>
      </c>
    </row>
    <row r="21" spans="1:25" ht="26.25" customHeight="1">
      <c r="A21" s="2048"/>
      <c r="B21" s="1456"/>
      <c r="C21" s="2797"/>
      <c r="D21" s="1530"/>
      <c r="E21" s="1530"/>
      <c r="F21" s="1761"/>
      <c r="G21" s="1761"/>
      <c r="H21" s="1761"/>
      <c r="I21" s="1761"/>
      <c r="J21" s="1761"/>
      <c r="K21" s="1761"/>
      <c r="L21" s="2834"/>
      <c r="N21" s="2048"/>
      <c r="O21" s="2048"/>
      <c r="P21" s="2797"/>
      <c r="Q21" s="1530"/>
      <c r="R21" s="2835"/>
      <c r="S21" s="2837"/>
      <c r="T21" s="1761"/>
      <c r="U21" s="1761"/>
      <c r="V21" s="1761"/>
      <c r="W21" s="1761"/>
      <c r="X21" s="1761"/>
      <c r="Y21" s="2821"/>
    </row>
    <row r="22" spans="1:25" ht="29.25" customHeight="1">
      <c r="A22" s="2049" t="s">
        <v>3172</v>
      </c>
      <c r="B22" s="2827"/>
      <c r="C22" s="577" t="s">
        <v>3173</v>
      </c>
      <c r="D22" s="1755" t="s">
        <v>3137</v>
      </c>
      <c r="E22" s="1756"/>
      <c r="F22" s="1761" t="s">
        <v>284</v>
      </c>
      <c r="G22" s="1761"/>
      <c r="H22" s="1761"/>
      <c r="I22" s="1761" t="s">
        <v>3174</v>
      </c>
      <c r="J22" s="1761"/>
      <c r="K22" s="1761"/>
      <c r="L22" s="2832">
        <f>ROUND(5800*Belarus*(1-C42),2)</f>
        <v>5800</v>
      </c>
      <c r="N22" s="2049" t="s">
        <v>3185</v>
      </c>
      <c r="O22" s="2049"/>
      <c r="P22" s="2824" t="s">
        <v>3186</v>
      </c>
      <c r="Q22" s="1765" t="s">
        <v>3187</v>
      </c>
      <c r="R22" s="1765" t="s">
        <v>3188</v>
      </c>
      <c r="S22" s="1765"/>
      <c r="T22" s="1894" t="s">
        <v>3189</v>
      </c>
      <c r="U22" s="1895"/>
      <c r="V22" s="1895"/>
      <c r="W22" s="1895"/>
      <c r="X22" s="1896"/>
      <c r="Y22" s="2819">
        <f>ROUND(2570*Belarus*(1-C42),2)</f>
        <v>2570</v>
      </c>
    </row>
    <row r="23" spans="1:25" ht="29.25" customHeight="1">
      <c r="A23" s="2822"/>
      <c r="B23" s="2828"/>
      <c r="C23" s="1409" t="s">
        <v>3181</v>
      </c>
      <c r="D23" s="1410"/>
      <c r="E23" s="1411"/>
      <c r="F23" s="1530" t="s">
        <v>3182</v>
      </c>
      <c r="G23" s="1530"/>
      <c r="H23" s="1530"/>
      <c r="I23" s="1530"/>
      <c r="J23" s="1530"/>
      <c r="K23" s="1530"/>
      <c r="L23" s="2833"/>
      <c r="N23" s="2823"/>
      <c r="O23" s="2823"/>
      <c r="P23" s="2826"/>
      <c r="Q23" s="1456"/>
      <c r="R23" s="1456"/>
      <c r="S23" s="1456"/>
      <c r="T23" s="1897"/>
      <c r="U23" s="1898"/>
      <c r="V23" s="1898"/>
      <c r="W23" s="1898"/>
      <c r="X23" s="1899"/>
      <c r="Y23" s="2821"/>
    </row>
    <row r="24" spans="1:25" ht="41.25" customHeight="1">
      <c r="A24" s="2822"/>
      <c r="B24" s="2828"/>
      <c r="C24" s="1409" t="s">
        <v>3183</v>
      </c>
      <c r="D24" s="1410"/>
      <c r="E24" s="1411"/>
      <c r="F24" s="1530" t="s">
        <v>3184</v>
      </c>
      <c r="G24" s="1530"/>
      <c r="H24" s="1530"/>
      <c r="I24" s="1530"/>
      <c r="J24" s="1530"/>
      <c r="K24" s="1530"/>
      <c r="L24" s="2833"/>
      <c r="N24" s="351" t="s">
        <v>3194</v>
      </c>
      <c r="O24" s="351"/>
      <c r="P24" s="577" t="s">
        <v>3195</v>
      </c>
      <c r="Q24" s="103" t="s">
        <v>3187</v>
      </c>
      <c r="R24" s="585" t="s">
        <v>3196</v>
      </c>
      <c r="S24" s="585" t="s">
        <v>3197</v>
      </c>
      <c r="T24" s="1761" t="s">
        <v>3198</v>
      </c>
      <c r="U24" s="1761"/>
      <c r="V24" s="1761"/>
      <c r="W24" s="1761"/>
      <c r="X24" s="1761"/>
      <c r="Y24" s="903">
        <f>ROUND(1950*Belarus*(1-C42),2)</f>
        <v>1950</v>
      </c>
    </row>
    <row r="25" spans="1:25" ht="32.25" customHeight="1">
      <c r="A25" s="2822"/>
      <c r="B25" s="2828"/>
      <c r="C25" s="1409" t="s">
        <v>3190</v>
      </c>
      <c r="D25" s="1410"/>
      <c r="E25" s="1411"/>
      <c r="F25" s="2814" t="s">
        <v>3191</v>
      </c>
      <c r="G25" s="2814"/>
      <c r="H25" s="2814"/>
      <c r="I25" s="2814"/>
      <c r="J25" s="2814"/>
      <c r="K25" s="2814"/>
      <c r="L25" s="2834"/>
      <c r="N25" s="351" t="s">
        <v>3202</v>
      </c>
      <c r="O25" s="351"/>
      <c r="P25" s="577" t="s">
        <v>3203</v>
      </c>
      <c r="Q25" s="103" t="s">
        <v>3204</v>
      </c>
      <c r="R25" s="279"/>
      <c r="S25" s="279"/>
      <c r="T25" s="1761" t="s">
        <v>3205</v>
      </c>
      <c r="U25" s="1761"/>
      <c r="V25" s="1761"/>
      <c r="W25" s="1761"/>
      <c r="X25" s="1761"/>
      <c r="Y25" s="903">
        <f>ROUND(23000*Belarus*(1-C42),2)</f>
        <v>23000</v>
      </c>
    </row>
    <row r="26" spans="1:25" ht="30" customHeight="1">
      <c r="A26" s="2823"/>
      <c r="B26" s="2829"/>
      <c r="C26" s="1409" t="s">
        <v>3192</v>
      </c>
      <c r="D26" s="1410"/>
      <c r="E26" s="1411"/>
      <c r="F26" s="2814" t="s">
        <v>3193</v>
      </c>
      <c r="G26" s="2814"/>
      <c r="H26" s="2814"/>
      <c r="I26" s="2814"/>
      <c r="J26" s="2814"/>
      <c r="K26" s="2814"/>
      <c r="L26" s="880">
        <f>ROUND(1200*Belarus*(1-C42),2)</f>
        <v>1200</v>
      </c>
      <c r="N26" s="351" t="s">
        <v>3206</v>
      </c>
      <c r="O26" s="385"/>
      <c r="P26" s="577" t="s">
        <v>3207</v>
      </c>
      <c r="Q26" s="237"/>
      <c r="R26" s="237"/>
      <c r="S26" s="237"/>
      <c r="T26" s="1761" t="s">
        <v>3208</v>
      </c>
      <c r="U26" s="1761"/>
      <c r="V26" s="1761"/>
      <c r="W26" s="1761"/>
      <c r="X26" s="1761"/>
      <c r="Y26" s="903">
        <f>ROUND(27900*Belarus*(1-C42),2)</f>
        <v>27900</v>
      </c>
    </row>
    <row r="27" spans="1:25" ht="42.75" customHeight="1">
      <c r="A27" s="2049" t="s">
        <v>3199</v>
      </c>
      <c r="B27" s="2827"/>
      <c r="C27" s="586" t="s">
        <v>3200</v>
      </c>
      <c r="D27" s="2830" t="s">
        <v>3201</v>
      </c>
      <c r="E27" s="2831"/>
      <c r="F27" s="1894" t="s">
        <v>284</v>
      </c>
      <c r="G27" s="1895"/>
      <c r="H27" s="1896"/>
      <c r="I27" s="1894" t="s">
        <v>3174</v>
      </c>
      <c r="J27" s="1895"/>
      <c r="K27" s="1896"/>
      <c r="L27" s="2832">
        <f>ROUND(5000*Belarus*(1-C42),2)</f>
        <v>5000</v>
      </c>
      <c r="N27" s="351" t="s">
        <v>3211</v>
      </c>
      <c r="O27" s="385"/>
      <c r="P27" s="577" t="s">
        <v>3212</v>
      </c>
      <c r="Q27" s="183" t="s">
        <v>3213</v>
      </c>
      <c r="R27" s="237"/>
      <c r="S27" s="237"/>
      <c r="T27" s="1761" t="s">
        <v>3214</v>
      </c>
      <c r="U27" s="1761"/>
      <c r="V27" s="1761"/>
      <c r="W27" s="1761"/>
      <c r="X27" s="1761"/>
      <c r="Y27" s="903">
        <f>ROUND(26200*Belarus*(1-C42),2)</f>
        <v>26200</v>
      </c>
    </row>
    <row r="28" spans="1:25" ht="12.75" customHeight="1">
      <c r="A28" s="2822"/>
      <c r="B28" s="2828"/>
      <c r="C28" s="1409" t="s">
        <v>3181</v>
      </c>
      <c r="D28" s="1410"/>
      <c r="E28" s="1411"/>
      <c r="F28" s="2814" t="s">
        <v>3182</v>
      </c>
      <c r="G28" s="2814"/>
      <c r="H28" s="2814"/>
      <c r="I28" s="2814"/>
      <c r="J28" s="2814"/>
      <c r="K28" s="2814"/>
      <c r="L28" s="2833"/>
      <c r="N28" s="2049" t="s">
        <v>3218</v>
      </c>
      <c r="O28" s="2049"/>
      <c r="P28" s="2824" t="s">
        <v>3219</v>
      </c>
      <c r="Q28" s="1765" t="s">
        <v>3177</v>
      </c>
      <c r="R28" s="1765" t="s">
        <v>3220</v>
      </c>
      <c r="S28" s="1765"/>
      <c r="T28" s="1894" t="s">
        <v>3221</v>
      </c>
      <c r="U28" s="1895"/>
      <c r="V28" s="1895"/>
      <c r="W28" s="1895"/>
      <c r="X28" s="1896"/>
      <c r="Y28" s="2819">
        <f>ROUND(1150*Belarus*(1-C42),2)</f>
        <v>1150</v>
      </c>
    </row>
    <row r="29" spans="1:25" ht="12.75" customHeight="1">
      <c r="A29" s="2822"/>
      <c r="B29" s="2828"/>
      <c r="C29" s="1409" t="s">
        <v>3183</v>
      </c>
      <c r="D29" s="1410"/>
      <c r="E29" s="1411"/>
      <c r="F29" s="2814" t="s">
        <v>3209</v>
      </c>
      <c r="G29" s="2814"/>
      <c r="H29" s="2814"/>
      <c r="I29" s="2814"/>
      <c r="J29" s="2814"/>
      <c r="K29" s="2814"/>
      <c r="L29" s="2833"/>
      <c r="N29" s="2822"/>
      <c r="O29" s="2822"/>
      <c r="P29" s="2825"/>
      <c r="Q29" s="1455"/>
      <c r="R29" s="1455"/>
      <c r="S29" s="1455"/>
      <c r="T29" s="2816"/>
      <c r="U29" s="2817"/>
      <c r="V29" s="2817"/>
      <c r="W29" s="2817"/>
      <c r="X29" s="2818"/>
      <c r="Y29" s="2820"/>
    </row>
    <row r="30" spans="1:25" ht="12.75" customHeight="1">
      <c r="A30" s="2822"/>
      <c r="B30" s="2828"/>
      <c r="C30" s="1409" t="s">
        <v>3190</v>
      </c>
      <c r="D30" s="1410"/>
      <c r="E30" s="1411"/>
      <c r="F30" s="2814" t="s">
        <v>3210</v>
      </c>
      <c r="G30" s="2814"/>
      <c r="H30" s="2814"/>
      <c r="I30" s="2814"/>
      <c r="J30" s="2814"/>
      <c r="K30" s="2814"/>
      <c r="L30" s="2833"/>
      <c r="N30" s="2823"/>
      <c r="O30" s="2823"/>
      <c r="P30" s="2826"/>
      <c r="Q30" s="1456"/>
      <c r="R30" s="1456"/>
      <c r="S30" s="1456"/>
      <c r="T30" s="1897"/>
      <c r="U30" s="1898"/>
      <c r="V30" s="1898"/>
      <c r="W30" s="1898"/>
      <c r="X30" s="1899"/>
      <c r="Y30" s="2821"/>
    </row>
    <row r="31" spans="1:25" ht="12.75" customHeight="1">
      <c r="A31" s="2823"/>
      <c r="B31" s="2829"/>
      <c r="C31" s="1409" t="s">
        <v>3215</v>
      </c>
      <c r="D31" s="1410"/>
      <c r="E31" s="1411"/>
      <c r="F31" s="2814" t="s">
        <v>3193</v>
      </c>
      <c r="G31" s="2814"/>
      <c r="H31" s="2814"/>
      <c r="I31" s="2814"/>
      <c r="J31" s="2814"/>
      <c r="K31" s="2814"/>
      <c r="L31" s="2834"/>
      <c r="N31" s="2222" t="s">
        <v>3223</v>
      </c>
      <c r="O31" s="2222"/>
      <c r="P31" s="2222"/>
      <c r="Q31" s="2222"/>
      <c r="R31" s="2222"/>
      <c r="S31" s="2222"/>
      <c r="T31" s="2222"/>
      <c r="U31" s="2222"/>
      <c r="V31" s="2222"/>
      <c r="W31" s="2222"/>
      <c r="X31" s="2222"/>
      <c r="Y31" s="2222"/>
    </row>
    <row r="32" spans="1:25" ht="28.5" customHeight="1">
      <c r="A32" s="2048" t="s">
        <v>3216</v>
      </c>
      <c r="B32" s="2815"/>
      <c r="C32" s="2797" t="s">
        <v>3217</v>
      </c>
      <c r="D32" s="1530" t="s">
        <v>3137</v>
      </c>
      <c r="E32" s="1530" t="s">
        <v>3137</v>
      </c>
      <c r="F32" s="1761" t="s">
        <v>284</v>
      </c>
      <c r="G32" s="1761"/>
      <c r="H32" s="1761"/>
      <c r="I32" s="1761" t="s">
        <v>3139</v>
      </c>
      <c r="J32" s="1761"/>
      <c r="K32" s="1761"/>
      <c r="L32" s="2813">
        <f>ROUND(7450*Belarus*(1-C42),2)</f>
        <v>7450</v>
      </c>
      <c r="N32" s="2222"/>
      <c r="O32" s="2222"/>
      <c r="P32" s="2222"/>
      <c r="Q32" s="2222"/>
      <c r="R32" s="2222"/>
      <c r="S32" s="2222"/>
      <c r="T32" s="2222"/>
      <c r="U32" s="2222"/>
      <c r="V32" s="2222"/>
      <c r="W32" s="2222"/>
      <c r="X32" s="2222"/>
      <c r="Y32" s="2222"/>
    </row>
    <row r="33" spans="1:25" s="17" customFormat="1" ht="12.75" customHeight="1">
      <c r="A33" s="2048"/>
      <c r="B33" s="2815"/>
      <c r="C33" s="2797"/>
      <c r="D33" s="1530"/>
      <c r="E33" s="1530"/>
      <c r="F33" s="1761" t="s">
        <v>3061</v>
      </c>
      <c r="G33" s="1761"/>
      <c r="H33" s="1761"/>
      <c r="I33" s="1761" t="s">
        <v>3062</v>
      </c>
      <c r="J33" s="1761"/>
      <c r="K33" s="1761"/>
      <c r="L33" s="2813"/>
      <c r="M33" s="1"/>
      <c r="N33" s="2222" t="s">
        <v>3225</v>
      </c>
      <c r="O33" s="2222"/>
      <c r="P33" s="2222"/>
      <c r="Q33" s="2222"/>
      <c r="R33" s="2222"/>
      <c r="S33" s="2222"/>
      <c r="T33" s="2222"/>
      <c r="U33" s="2222"/>
      <c r="V33" s="2222"/>
      <c r="W33" s="2222"/>
      <c r="X33" s="2222"/>
      <c r="Y33" s="2222"/>
    </row>
    <row r="34" spans="1:25" s="17" customFormat="1" ht="12.75" customHeight="1">
      <c r="A34" s="2048"/>
      <c r="B34" s="2815"/>
      <c r="C34" s="2797"/>
      <c r="D34" s="1530"/>
      <c r="E34" s="1530"/>
      <c r="F34" s="1761" t="s">
        <v>3063</v>
      </c>
      <c r="G34" s="1761"/>
      <c r="H34" s="1761"/>
      <c r="I34" s="1761" t="s">
        <v>3064</v>
      </c>
      <c r="J34" s="1761"/>
      <c r="K34" s="1761"/>
      <c r="L34" s="2813"/>
      <c r="M34" s="1"/>
      <c r="N34" s="2222"/>
      <c r="O34" s="2222"/>
      <c r="P34" s="2222"/>
      <c r="Q34" s="2222"/>
      <c r="R34" s="2222"/>
      <c r="S34" s="2222"/>
      <c r="T34" s="2222"/>
      <c r="U34" s="2222"/>
      <c r="V34" s="2222"/>
      <c r="W34" s="2222"/>
      <c r="X34" s="2222"/>
      <c r="Y34" s="2222"/>
    </row>
    <row r="35" spans="1:25" s="17" customFormat="1" ht="12.75" customHeight="1">
      <c r="A35" s="2048"/>
      <c r="B35" s="2815"/>
      <c r="C35" s="2797"/>
      <c r="D35" s="1530"/>
      <c r="E35" s="1530"/>
      <c r="F35" s="1761" t="s">
        <v>3065</v>
      </c>
      <c r="G35" s="1761"/>
      <c r="H35" s="1761"/>
      <c r="I35" s="1761" t="s">
        <v>3066</v>
      </c>
      <c r="J35" s="1761"/>
      <c r="K35" s="1761"/>
      <c r="L35" s="2813"/>
      <c r="M35" s="1"/>
      <c r="N35" s="2008" t="s">
        <v>3226</v>
      </c>
      <c r="O35" s="2008"/>
      <c r="P35" s="2008"/>
      <c r="Q35" s="2008"/>
      <c r="R35" s="2008"/>
      <c r="S35" s="2008"/>
      <c r="T35" s="2008"/>
      <c r="U35" s="2008"/>
      <c r="V35" s="2008"/>
      <c r="W35" s="2008"/>
      <c r="X35" s="2008"/>
      <c r="Y35" s="2008"/>
    </row>
    <row r="36" spans="1:25" s="17" customFormat="1" ht="25.5" customHeight="1">
      <c r="A36" s="2048"/>
      <c r="B36" s="2815"/>
      <c r="C36" s="577" t="s">
        <v>3067</v>
      </c>
      <c r="D36" s="103" t="s">
        <v>3138</v>
      </c>
      <c r="E36" s="168" t="s">
        <v>3143</v>
      </c>
      <c r="F36" s="1761" t="s">
        <v>3222</v>
      </c>
      <c r="G36" s="1761"/>
      <c r="H36" s="1761"/>
      <c r="I36" s="1761"/>
      <c r="J36" s="1761"/>
      <c r="K36" s="1761"/>
      <c r="L36" s="880">
        <f>ROUND(2850*Belarus*(1-C42),2)</f>
        <v>2850</v>
      </c>
      <c r="M36" s="1"/>
      <c r="N36" s="2008"/>
      <c r="O36" s="2008"/>
      <c r="P36" s="2008"/>
      <c r="Q36" s="2008"/>
      <c r="R36" s="2008"/>
      <c r="S36" s="2008"/>
      <c r="T36" s="2008"/>
      <c r="U36" s="2008"/>
      <c r="V36" s="2008"/>
      <c r="W36" s="2008"/>
      <c r="X36" s="2008"/>
      <c r="Y36" s="2008"/>
    </row>
    <row r="37" spans="1:25" s="17" customFormat="1" ht="25.5" customHeight="1">
      <c r="A37" s="2048"/>
      <c r="B37" s="2815"/>
      <c r="C37" s="577" t="s">
        <v>3069</v>
      </c>
      <c r="D37" s="103" t="s">
        <v>3138</v>
      </c>
      <c r="E37" s="168" t="s">
        <v>3143</v>
      </c>
      <c r="F37" s="1761" t="s">
        <v>3224</v>
      </c>
      <c r="G37" s="1761"/>
      <c r="H37" s="1761"/>
      <c r="I37" s="1761"/>
      <c r="J37" s="1761"/>
      <c r="K37" s="1761"/>
      <c r="L37" s="880">
        <f>ROUND(1000*Belarus*(1-C42),2)</f>
        <v>1000</v>
      </c>
      <c r="M37" s="1"/>
      <c r="N37" s="2810" t="s">
        <v>1127</v>
      </c>
      <c r="O37" s="2811"/>
      <c r="P37" s="2811"/>
      <c r="Q37" s="2811"/>
      <c r="R37" s="2811"/>
      <c r="S37" s="2811"/>
      <c r="T37" s="2811"/>
      <c r="U37" s="2811"/>
      <c r="V37" s="2811"/>
      <c r="W37" s="2811"/>
      <c r="X37" s="2811"/>
      <c r="Y37" s="2812"/>
    </row>
    <row r="38" spans="1:25">
      <c r="N38" s="17"/>
      <c r="O38" s="17"/>
      <c r="P38" s="17"/>
      <c r="Q38" s="17"/>
      <c r="R38" s="17"/>
      <c r="S38" s="17"/>
      <c r="T38" s="17"/>
      <c r="U38" s="17"/>
      <c r="V38" s="17"/>
      <c r="W38" s="17"/>
      <c r="X38" s="17"/>
      <c r="Y38" s="17"/>
    </row>
    <row r="39" spans="1:25">
      <c r="N39" s="17"/>
      <c r="O39" s="17"/>
      <c r="P39" s="17"/>
      <c r="Q39" s="17"/>
      <c r="R39" s="17"/>
      <c r="S39" s="17"/>
      <c r="T39" s="17"/>
      <c r="U39" s="17"/>
      <c r="V39" s="17"/>
      <c r="W39" s="17"/>
      <c r="X39" s="17"/>
      <c r="Y39" s="17"/>
    </row>
    <row r="40" spans="1:25">
      <c r="C40" s="501"/>
    </row>
    <row r="42" spans="1:25">
      <c r="A42" s="2519" t="s">
        <v>1835</v>
      </c>
      <c r="B42" s="2519"/>
      <c r="C42" s="2618">
        <v>0</v>
      </c>
    </row>
    <row r="43" spans="1:25">
      <c r="A43" s="2519"/>
      <c r="B43" s="2519"/>
      <c r="C43" s="2619"/>
    </row>
  </sheetData>
  <sheetProtection selectLockedCells="1" selectUnlockedCells="1"/>
  <mergeCells count="178">
    <mergeCell ref="A1:D1"/>
    <mergeCell ref="A2:Q2"/>
    <mergeCell ref="T3:X3"/>
    <mergeCell ref="A4:A5"/>
    <mergeCell ref="B4:B5"/>
    <mergeCell ref="C4:C5"/>
    <mergeCell ref="D4:E4"/>
    <mergeCell ref="F4:K5"/>
    <mergeCell ref="L4:L5"/>
    <mergeCell ref="N4:N5"/>
    <mergeCell ref="O4:O5"/>
    <mergeCell ref="P4:P5"/>
    <mergeCell ref="Q4:S4"/>
    <mergeCell ref="T4:X5"/>
    <mergeCell ref="Y4:Y5"/>
    <mergeCell ref="Q5:R5"/>
    <mergeCell ref="A6:A10"/>
    <mergeCell ref="B6:B10"/>
    <mergeCell ref="C6:C9"/>
    <mergeCell ref="D6:D9"/>
    <mergeCell ref="E6:E9"/>
    <mergeCell ref="F6:H6"/>
    <mergeCell ref="F8:H8"/>
    <mergeCell ref="F10:H10"/>
    <mergeCell ref="P6:P7"/>
    <mergeCell ref="Q6:R7"/>
    <mergeCell ref="I8:K8"/>
    <mergeCell ref="N8:N9"/>
    <mergeCell ref="O8:O9"/>
    <mergeCell ref="P8:P9"/>
    <mergeCell ref="Q8:X9"/>
    <mergeCell ref="S6:S7"/>
    <mergeCell ref="T6:V7"/>
    <mergeCell ref="W6:X7"/>
    <mergeCell ref="Y6:Y7"/>
    <mergeCell ref="F7:H7"/>
    <mergeCell ref="I7:K7"/>
    <mergeCell ref="I6:K6"/>
    <mergeCell ref="L6:L9"/>
    <mergeCell ref="N6:N7"/>
    <mergeCell ref="O6:O7"/>
    <mergeCell ref="Y8:Y9"/>
    <mergeCell ref="F9:H9"/>
    <mergeCell ref="I9:K9"/>
    <mergeCell ref="I10:K10"/>
    <mergeCell ref="N10:N15"/>
    <mergeCell ref="O10:O11"/>
    <mergeCell ref="Q10:S11"/>
    <mergeCell ref="T10:X11"/>
    <mergeCell ref="I11:K11"/>
    <mergeCell ref="O12:O13"/>
    <mergeCell ref="Q12:S13"/>
    <mergeCell ref="T12:X13"/>
    <mergeCell ref="I13:K13"/>
    <mergeCell ref="F14:H14"/>
    <mergeCell ref="I14:K14"/>
    <mergeCell ref="A11:A15"/>
    <mergeCell ref="B11:B15"/>
    <mergeCell ref="C11:C14"/>
    <mergeCell ref="D11:D14"/>
    <mergeCell ref="E11:E14"/>
    <mergeCell ref="F11:H11"/>
    <mergeCell ref="I12:K12"/>
    <mergeCell ref="F13:H13"/>
    <mergeCell ref="Q14:S15"/>
    <mergeCell ref="T14:X15"/>
    <mergeCell ref="A16:A21"/>
    <mergeCell ref="B16:B21"/>
    <mergeCell ref="C16:C19"/>
    <mergeCell ref="D16:E19"/>
    <mergeCell ref="F16:H16"/>
    <mergeCell ref="I16:K16"/>
    <mergeCell ref="L11:L14"/>
    <mergeCell ref="F12:H12"/>
    <mergeCell ref="T16:X19"/>
    <mergeCell ref="Y16:Y17"/>
    <mergeCell ref="Y14:Y15"/>
    <mergeCell ref="F15:H15"/>
    <mergeCell ref="I15:K15"/>
    <mergeCell ref="L16:L19"/>
    <mergeCell ref="F17:H17"/>
    <mergeCell ref="I17:K17"/>
    <mergeCell ref="O14:O15"/>
    <mergeCell ref="P14:P15"/>
    <mergeCell ref="F18:H18"/>
    <mergeCell ref="I18:K18"/>
    <mergeCell ref="P18:P19"/>
    <mergeCell ref="Y18:Y19"/>
    <mergeCell ref="F19:H19"/>
    <mergeCell ref="I19:K19"/>
    <mergeCell ref="N16:N19"/>
    <mergeCell ref="O16:O19"/>
    <mergeCell ref="P16:P17"/>
    <mergeCell ref="Q16:S19"/>
    <mergeCell ref="R20:R21"/>
    <mergeCell ref="S20:S21"/>
    <mergeCell ref="C20:C21"/>
    <mergeCell ref="D20:D21"/>
    <mergeCell ref="E20:E21"/>
    <mergeCell ref="F20:H21"/>
    <mergeCell ref="I20:K21"/>
    <mergeCell ref="L20:L21"/>
    <mergeCell ref="C24:E24"/>
    <mergeCell ref="F24:K24"/>
    <mergeCell ref="N20:N21"/>
    <mergeCell ref="O20:O21"/>
    <mergeCell ref="P20:P21"/>
    <mergeCell ref="Q20:Q21"/>
    <mergeCell ref="Y22:Y23"/>
    <mergeCell ref="T20:X21"/>
    <mergeCell ref="Y20:Y21"/>
    <mergeCell ref="D22:E22"/>
    <mergeCell ref="F22:H22"/>
    <mergeCell ref="I22:K22"/>
    <mergeCell ref="L22:L25"/>
    <mergeCell ref="N22:N23"/>
    <mergeCell ref="O22:O23"/>
    <mergeCell ref="C23:E23"/>
    <mergeCell ref="T24:X24"/>
    <mergeCell ref="C25:E25"/>
    <mergeCell ref="F25:K25"/>
    <mergeCell ref="T25:X25"/>
    <mergeCell ref="P22:P23"/>
    <mergeCell ref="Q22:Q23"/>
    <mergeCell ref="R22:R23"/>
    <mergeCell ref="S22:S23"/>
    <mergeCell ref="T22:X23"/>
    <mergeCell ref="F23:K23"/>
    <mergeCell ref="T26:X26"/>
    <mergeCell ref="A27:A31"/>
    <mergeCell ref="B27:B31"/>
    <mergeCell ref="D27:E27"/>
    <mergeCell ref="F27:H27"/>
    <mergeCell ref="I27:K27"/>
    <mergeCell ref="L27:L31"/>
    <mergeCell ref="T27:X27"/>
    <mergeCell ref="A22:A26"/>
    <mergeCell ref="B22:B26"/>
    <mergeCell ref="N28:N30"/>
    <mergeCell ref="O28:O30"/>
    <mergeCell ref="P28:P30"/>
    <mergeCell ref="Q28:Q30"/>
    <mergeCell ref="C26:E26"/>
    <mergeCell ref="F26:K26"/>
    <mergeCell ref="R28:R30"/>
    <mergeCell ref="S28:S30"/>
    <mergeCell ref="T28:X30"/>
    <mergeCell ref="Y28:Y30"/>
    <mergeCell ref="C29:E29"/>
    <mergeCell ref="F29:K29"/>
    <mergeCell ref="C30:E30"/>
    <mergeCell ref="F30:K30"/>
    <mergeCell ref="C28:E28"/>
    <mergeCell ref="F28:K28"/>
    <mergeCell ref="A32:A37"/>
    <mergeCell ref="B32:B37"/>
    <mergeCell ref="C32:C35"/>
    <mergeCell ref="D32:D35"/>
    <mergeCell ref="E32:E35"/>
    <mergeCell ref="F32:H32"/>
    <mergeCell ref="F35:H35"/>
    <mergeCell ref="F37:K37"/>
    <mergeCell ref="N35:Y36"/>
    <mergeCell ref="F36:K36"/>
    <mergeCell ref="C31:E31"/>
    <mergeCell ref="F31:K31"/>
    <mergeCell ref="N31:Y32"/>
    <mergeCell ref="I32:K32"/>
    <mergeCell ref="N37:Y37"/>
    <mergeCell ref="A42:B43"/>
    <mergeCell ref="C42:C43"/>
    <mergeCell ref="L32:L35"/>
    <mergeCell ref="F33:H33"/>
    <mergeCell ref="I33:K33"/>
    <mergeCell ref="N33:Y34"/>
    <mergeCell ref="F34:H34"/>
    <mergeCell ref="I34:K34"/>
    <mergeCell ref="I35:K35"/>
  </mergeCells>
  <hyperlinks>
    <hyperlink ref="F3" r:id="rId1" display="www.grandline.ru/shop"/>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63" firstPageNumber="0" orientation="landscape" horizontalDpi="300" verticalDpi="300" r:id="rId2"/>
  <headerFooter scaleWithDoc="0">
    <oddHeader xml:space="preserve">&amp;L&amp;G&amp;R&amp;5Центр поддержки клиентов Grand Line: +7 (495) 748-38-38
cайт: www.grandline.ru   </oddHeader>
    <oddFooter>&amp;R&amp;5Страница 46</oddFooter>
  </headerFooter>
  <drawing r:id="rId3"/>
  <legacyDrawingHF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K78"/>
  <sheetViews>
    <sheetView zoomScale="70" zoomScaleNormal="70" workbookViewId="0">
      <selection sqref="A1:E1"/>
    </sheetView>
  </sheetViews>
  <sheetFormatPr defaultRowHeight="12.75"/>
  <cols>
    <col min="1" max="1" width="88.140625" style="46" customWidth="1"/>
    <col min="2" max="2" width="31" style="46" customWidth="1"/>
    <col min="3" max="3" width="65.28515625" style="46" customWidth="1"/>
    <col min="4" max="4" width="13.42578125" style="46" customWidth="1"/>
    <col min="5" max="5" width="11.85546875" style="46" customWidth="1"/>
    <col min="6" max="6" width="17.28515625" style="46" customWidth="1"/>
    <col min="7" max="7" width="8.42578125" style="46" customWidth="1"/>
    <col min="8" max="9" width="6.85546875" style="46" customWidth="1"/>
    <col min="10" max="10" width="5.7109375" style="46" customWidth="1"/>
    <col min="11" max="11" width="6.85546875" style="1" customWidth="1"/>
    <col min="12" max="16384" width="9.140625" style="1"/>
  </cols>
  <sheetData>
    <row r="1" spans="1:11" s="46" customFormat="1">
      <c r="A1" s="1666" t="s">
        <v>312</v>
      </c>
      <c r="B1" s="1666"/>
      <c r="C1" s="1666"/>
      <c r="D1" s="1666"/>
      <c r="E1" s="1666"/>
    </row>
    <row r="2" spans="1:11" s="46" customFormat="1" ht="16.5" customHeight="1" thickBot="1">
      <c r="A2" s="1273" t="s">
        <v>3828</v>
      </c>
      <c r="B2" s="1273"/>
      <c r="C2" s="1273"/>
      <c r="D2" s="1273"/>
      <c r="E2" s="1273"/>
      <c r="F2" s="746"/>
      <c r="G2" s="775"/>
      <c r="H2" s="734" t="s">
        <v>313</v>
      </c>
      <c r="I2" s="1483">
        <v>43252</v>
      </c>
      <c r="J2" s="1483"/>
      <c r="K2" s="1483"/>
    </row>
    <row r="3" spans="1:11" s="46" customFormat="1">
      <c r="A3" s="250"/>
      <c r="B3" s="250"/>
      <c r="C3" s="250"/>
      <c r="D3" s="435"/>
      <c r="E3" s="435"/>
      <c r="F3" s="24"/>
      <c r="H3" s="588" t="s">
        <v>804</v>
      </c>
      <c r="I3" s="2867">
        <v>43252</v>
      </c>
      <c r="J3" s="2867"/>
      <c r="K3" s="2867"/>
    </row>
    <row r="4" spans="1:11" s="46" customFormat="1">
      <c r="A4" s="1502" t="s">
        <v>3829</v>
      </c>
      <c r="B4" s="1536" t="s">
        <v>307</v>
      </c>
      <c r="C4" s="768"/>
      <c r="D4" s="1495" t="s">
        <v>6498</v>
      </c>
      <c r="E4" s="1495" t="s">
        <v>3830</v>
      </c>
      <c r="F4" s="1495" t="s">
        <v>1073</v>
      </c>
      <c r="G4" s="1495" t="s">
        <v>622</v>
      </c>
      <c r="H4" s="1491" t="s">
        <v>624</v>
      </c>
      <c r="I4" s="1491"/>
      <c r="J4" s="1491"/>
      <c r="K4" s="1491"/>
    </row>
    <row r="5" spans="1:11" s="46" customFormat="1">
      <c r="A5" s="1504"/>
      <c r="B5" s="1569"/>
      <c r="C5" s="821"/>
      <c r="D5" s="1496"/>
      <c r="E5" s="1496"/>
      <c r="F5" s="1496"/>
      <c r="G5" s="1496"/>
      <c r="H5" s="1479" t="s">
        <v>3831</v>
      </c>
      <c r="I5" s="1480"/>
      <c r="J5" s="1479" t="s">
        <v>3832</v>
      </c>
      <c r="K5" s="1480"/>
    </row>
    <row r="6" spans="1:11" s="46" customFormat="1">
      <c r="A6" s="1491" t="s">
        <v>3833</v>
      </c>
      <c r="B6" s="1491"/>
      <c r="C6" s="1491"/>
      <c r="D6" s="1491"/>
      <c r="E6" s="1491"/>
      <c r="F6" s="1491"/>
      <c r="G6" s="1491"/>
      <c r="H6" s="1491"/>
      <c r="I6" s="1491"/>
      <c r="J6" s="1491"/>
      <c r="K6" s="1491"/>
    </row>
    <row r="7" spans="1:11" s="46" customFormat="1" ht="12.75" customHeight="1">
      <c r="A7" s="1787" t="s">
        <v>3834</v>
      </c>
      <c r="B7" s="97" t="s">
        <v>3835</v>
      </c>
      <c r="C7" s="288" t="s">
        <v>3836</v>
      </c>
      <c r="D7" s="101" t="s">
        <v>3837</v>
      </c>
      <c r="E7" s="101" t="s">
        <v>3838</v>
      </c>
      <c r="F7" s="101" t="s">
        <v>3839</v>
      </c>
      <c r="G7" s="105" t="s">
        <v>3227</v>
      </c>
      <c r="H7" s="2865">
        <f>J7/75</f>
        <v>33.333333333333336</v>
      </c>
      <c r="I7" s="2866"/>
      <c r="J7" s="2860">
        <f>ROUND(2500*Belarus*(1-B77),2)</f>
        <v>2500</v>
      </c>
      <c r="K7" s="2861"/>
    </row>
    <row r="8" spans="1:11" s="46" customFormat="1" ht="12.75" customHeight="1">
      <c r="A8" s="1927"/>
      <c r="B8" s="97" t="s">
        <v>3840</v>
      </c>
      <c r="C8" s="288" t="s">
        <v>3841</v>
      </c>
      <c r="D8" s="101" t="s">
        <v>3837</v>
      </c>
      <c r="E8" s="101" t="s">
        <v>3842</v>
      </c>
      <c r="F8" s="101" t="s">
        <v>3843</v>
      </c>
      <c r="G8" s="101" t="s">
        <v>3227</v>
      </c>
      <c r="H8" s="1570">
        <f>J8/70</f>
        <v>39.528571428571432</v>
      </c>
      <c r="I8" s="1571"/>
      <c r="J8" s="2855">
        <f>ROUND(2767*Belarus*(1-B75),2)</f>
        <v>2767</v>
      </c>
      <c r="K8" s="2856"/>
    </row>
    <row r="9" spans="1:11" s="46" customFormat="1" ht="12.75" customHeight="1">
      <c r="A9" s="1927"/>
      <c r="B9" s="97" t="s">
        <v>3844</v>
      </c>
      <c r="C9" s="288" t="s">
        <v>3836</v>
      </c>
      <c r="D9" s="101" t="s">
        <v>3837</v>
      </c>
      <c r="E9" s="101" t="s">
        <v>3845</v>
      </c>
      <c r="F9" s="105" t="s">
        <v>3839</v>
      </c>
      <c r="G9" s="105" t="s">
        <v>3227</v>
      </c>
      <c r="H9" s="2865">
        <f>J9/75</f>
        <v>38.666666666666664</v>
      </c>
      <c r="I9" s="2866"/>
      <c r="J9" s="2860">
        <f>ROUND(2900*Belarus*(1-B77),2)</f>
        <v>2900</v>
      </c>
      <c r="K9" s="2861"/>
    </row>
    <row r="10" spans="1:11" s="46" customFormat="1" ht="12.75" customHeight="1">
      <c r="A10" s="1927"/>
      <c r="B10" s="97" t="s">
        <v>3846</v>
      </c>
      <c r="C10" s="288" t="s">
        <v>3836</v>
      </c>
      <c r="D10" s="101" t="s">
        <v>3837</v>
      </c>
      <c r="E10" s="101" t="s">
        <v>3847</v>
      </c>
      <c r="F10" s="105" t="s">
        <v>3839</v>
      </c>
      <c r="G10" s="105" t="s">
        <v>3227</v>
      </c>
      <c r="H10" s="2865">
        <f>J10/75</f>
        <v>46.666666666666664</v>
      </c>
      <c r="I10" s="2866"/>
      <c r="J10" s="2860">
        <f>ROUND(3500*Belarus*(1-B77),2)</f>
        <v>3500</v>
      </c>
      <c r="K10" s="2861"/>
    </row>
    <row r="11" spans="1:11" s="46" customFormat="1">
      <c r="A11" s="1927"/>
      <c r="B11" s="97" t="s">
        <v>3848</v>
      </c>
      <c r="C11" s="288" t="s">
        <v>3849</v>
      </c>
      <c r="D11" s="101" t="s">
        <v>3850</v>
      </c>
      <c r="E11" s="101" t="s">
        <v>3842</v>
      </c>
      <c r="F11" s="101" t="s">
        <v>3839</v>
      </c>
      <c r="G11" s="101" t="s">
        <v>3227</v>
      </c>
      <c r="H11" s="1570">
        <f>J11/75</f>
        <v>51.093333333333334</v>
      </c>
      <c r="I11" s="1571"/>
      <c r="J11" s="2855">
        <f>ROUND(3832*Belarus*(1-B71),2)</f>
        <v>3832</v>
      </c>
      <c r="K11" s="2856"/>
    </row>
    <row r="12" spans="1:11" s="46" customFormat="1">
      <c r="A12" s="1927"/>
      <c r="B12" s="97" t="s">
        <v>3851</v>
      </c>
      <c r="C12" s="288" t="s">
        <v>3852</v>
      </c>
      <c r="D12" s="101" t="s">
        <v>3837</v>
      </c>
      <c r="E12" s="101" t="s">
        <v>3853</v>
      </c>
      <c r="F12" s="101" t="s">
        <v>3843</v>
      </c>
      <c r="G12" s="101" t="s">
        <v>3227</v>
      </c>
      <c r="H12" s="1570">
        <f>J12/70</f>
        <v>65.5</v>
      </c>
      <c r="I12" s="1571"/>
      <c r="J12" s="2855">
        <f>ROUND(4585*Belarus*(1-B75),2)</f>
        <v>4585</v>
      </c>
      <c r="K12" s="2856"/>
    </row>
    <row r="13" spans="1:11" s="46" customFormat="1">
      <c r="A13" s="1927"/>
      <c r="B13" s="97" t="s">
        <v>3854</v>
      </c>
      <c r="C13" s="288" t="s">
        <v>3852</v>
      </c>
      <c r="D13" s="101" t="s">
        <v>3850</v>
      </c>
      <c r="E13" s="101" t="s">
        <v>3855</v>
      </c>
      <c r="F13" s="101" t="s">
        <v>3839</v>
      </c>
      <c r="G13" s="101" t="s">
        <v>3227</v>
      </c>
      <c r="H13" s="1540">
        <f t="shared" ref="H13:H18" si="0">J13/75</f>
        <v>64.52</v>
      </c>
      <c r="I13" s="1541"/>
      <c r="J13" s="2853">
        <f>ROUND(4839*Belarus*(1-B71),2)</f>
        <v>4839</v>
      </c>
      <c r="K13" s="2854"/>
    </row>
    <row r="14" spans="1:11" s="46" customFormat="1">
      <c r="A14" s="1927"/>
      <c r="B14" s="97" t="s">
        <v>3856</v>
      </c>
      <c r="C14" s="288" t="s">
        <v>3852</v>
      </c>
      <c r="D14" s="101" t="s">
        <v>3850</v>
      </c>
      <c r="E14" s="101" t="s">
        <v>3845</v>
      </c>
      <c r="F14" s="1766" t="s">
        <v>3839</v>
      </c>
      <c r="G14" s="101" t="s">
        <v>3227</v>
      </c>
      <c r="H14" s="1540">
        <f t="shared" si="0"/>
        <v>70.973333333333329</v>
      </c>
      <c r="I14" s="1541"/>
      <c r="J14" s="2853">
        <f>ROUND(5323*Belarus*(1-B71),2)</f>
        <v>5323</v>
      </c>
      <c r="K14" s="2854"/>
    </row>
    <row r="15" spans="1:11" s="46" customFormat="1">
      <c r="A15" s="1927"/>
      <c r="B15" s="97" t="s">
        <v>3857</v>
      </c>
      <c r="C15" s="288" t="s">
        <v>3852</v>
      </c>
      <c r="D15" s="101" t="s">
        <v>3858</v>
      </c>
      <c r="E15" s="101" t="s">
        <v>3859</v>
      </c>
      <c r="F15" s="1442"/>
      <c r="G15" s="101" t="s">
        <v>3227</v>
      </c>
      <c r="H15" s="1540">
        <f t="shared" si="0"/>
        <v>86.666666666666671</v>
      </c>
      <c r="I15" s="1541"/>
      <c r="J15" s="2853">
        <f>ROUND(6500*Belarus*(1-B72),2)</f>
        <v>6500</v>
      </c>
      <c r="K15" s="2854"/>
    </row>
    <row r="16" spans="1:11" s="46" customFormat="1">
      <c r="A16" s="1927"/>
      <c r="B16" s="97" t="s">
        <v>3860</v>
      </c>
      <c r="C16" s="288" t="s">
        <v>3861</v>
      </c>
      <c r="D16" s="101" t="s">
        <v>3862</v>
      </c>
      <c r="E16" s="101" t="s">
        <v>3847</v>
      </c>
      <c r="F16" s="1442"/>
      <c r="G16" s="101" t="s">
        <v>3227</v>
      </c>
      <c r="H16" s="1540">
        <f t="shared" si="0"/>
        <v>87</v>
      </c>
      <c r="I16" s="1541"/>
      <c r="J16" s="2853">
        <f>ROUND(6525*Belarus*(1-B73),2)</f>
        <v>6525</v>
      </c>
      <c r="K16" s="2854"/>
    </row>
    <row r="17" spans="1:11" s="46" customFormat="1">
      <c r="A17" s="1927"/>
      <c r="B17" s="97" t="s">
        <v>3863</v>
      </c>
      <c r="C17" s="288" t="s">
        <v>3852</v>
      </c>
      <c r="D17" s="101" t="s">
        <v>3858</v>
      </c>
      <c r="E17" s="101" t="s">
        <v>3864</v>
      </c>
      <c r="F17" s="1442"/>
      <c r="G17" s="101" t="s">
        <v>3227</v>
      </c>
      <c r="H17" s="1540">
        <f t="shared" si="0"/>
        <v>113.33333333333333</v>
      </c>
      <c r="I17" s="1541"/>
      <c r="J17" s="2853">
        <f>ROUND(8500*Belarus*(1-B72),2)</f>
        <v>8500</v>
      </c>
      <c r="K17" s="2854"/>
    </row>
    <row r="18" spans="1:11" s="46" customFormat="1">
      <c r="A18" s="1927"/>
      <c r="B18" s="776" t="s">
        <v>3865</v>
      </c>
      <c r="C18" s="286" t="s">
        <v>3852</v>
      </c>
      <c r="D18" s="105" t="s">
        <v>3850</v>
      </c>
      <c r="E18" s="105" t="s">
        <v>3866</v>
      </c>
      <c r="F18" s="1442"/>
      <c r="G18" s="105" t="s">
        <v>3227</v>
      </c>
      <c r="H18" s="2865">
        <f t="shared" si="0"/>
        <v>94.2</v>
      </c>
      <c r="I18" s="2866"/>
      <c r="J18" s="2860">
        <f>ROUND(7065*Belarus*(1-B71),2)</f>
        <v>7065</v>
      </c>
      <c r="K18" s="2861"/>
    </row>
    <row r="19" spans="1:11" s="46" customFormat="1" ht="7.5" customHeight="1">
      <c r="A19" s="1388"/>
      <c r="B19" s="1388"/>
      <c r="C19" s="1388"/>
      <c r="D19" s="1388"/>
      <c r="E19" s="1388"/>
      <c r="F19" s="1388"/>
      <c r="G19" s="1388"/>
      <c r="H19" s="1388"/>
      <c r="I19" s="1388"/>
      <c r="J19" s="1388"/>
      <c r="K19" s="1388"/>
    </row>
    <row r="20" spans="1:11" s="46" customFormat="1" ht="25.5">
      <c r="A20" s="1788" t="s">
        <v>6720</v>
      </c>
      <c r="B20" s="97" t="s">
        <v>3867</v>
      </c>
      <c r="C20" s="288" t="s">
        <v>3868</v>
      </c>
      <c r="D20" s="43" t="s">
        <v>3837</v>
      </c>
      <c r="E20" s="43" t="s">
        <v>3869</v>
      </c>
      <c r="F20" s="44" t="s">
        <v>3870</v>
      </c>
      <c r="G20" s="43" t="s">
        <v>3227</v>
      </c>
      <c r="H20" s="219">
        <f>J20/35</f>
        <v>21.714285714285715</v>
      </c>
      <c r="I20" s="219">
        <f>K20/70</f>
        <v>19.714285714285715</v>
      </c>
      <c r="J20" s="827">
        <f>ROUND(760*Belarus*(1-B70),2)</f>
        <v>760</v>
      </c>
      <c r="K20" s="827">
        <f>ROUND(1380*Belarus*(1-B70),2)</f>
        <v>1380</v>
      </c>
    </row>
    <row r="21" spans="1:11" s="46" customFormat="1">
      <c r="A21" s="1818"/>
      <c r="B21" s="97" t="s">
        <v>3871</v>
      </c>
      <c r="C21" s="288" t="s">
        <v>3868</v>
      </c>
      <c r="D21" s="50" t="s">
        <v>3837</v>
      </c>
      <c r="E21" s="50" t="s">
        <v>3855</v>
      </c>
      <c r="F21" s="50" t="s">
        <v>3843</v>
      </c>
      <c r="G21" s="50" t="s">
        <v>3227</v>
      </c>
      <c r="H21" s="1570">
        <f>J21/70</f>
        <v>21.571428571428573</v>
      </c>
      <c r="I21" s="1571"/>
      <c r="J21" s="2855">
        <f>ROUND(1510*Belarus*(1-B75),2)</f>
        <v>1510</v>
      </c>
      <c r="K21" s="2862"/>
    </row>
    <row r="22" spans="1:11" s="46" customFormat="1">
      <c r="A22" s="1818"/>
      <c r="B22" s="97" t="s">
        <v>3872</v>
      </c>
      <c r="C22" s="288" t="s">
        <v>3873</v>
      </c>
      <c r="D22" s="43" t="s">
        <v>3837</v>
      </c>
      <c r="E22" s="43" t="s">
        <v>3874</v>
      </c>
      <c r="F22" s="50" t="s">
        <v>3839</v>
      </c>
      <c r="G22" s="43" t="s">
        <v>3227</v>
      </c>
      <c r="H22" s="1540">
        <f>J22/75</f>
        <v>24.666666666666668</v>
      </c>
      <c r="I22" s="1541"/>
      <c r="J22" s="2855">
        <f>ROUND(1850*Belarus*(1-B74),2)</f>
        <v>1850</v>
      </c>
      <c r="K22" s="2862"/>
    </row>
    <row r="23" spans="1:11" s="46" customFormat="1">
      <c r="A23" s="1818"/>
      <c r="B23" s="97" t="s">
        <v>3875</v>
      </c>
      <c r="C23" s="288" t="s">
        <v>3873</v>
      </c>
      <c r="D23" s="43" t="s">
        <v>3837</v>
      </c>
      <c r="E23" s="43" t="s">
        <v>3874</v>
      </c>
      <c r="F23" s="50" t="s">
        <v>3839</v>
      </c>
      <c r="G23" s="43" t="s">
        <v>3227</v>
      </c>
      <c r="H23" s="1540">
        <f>J23/75</f>
        <v>32</v>
      </c>
      <c r="I23" s="1541"/>
      <c r="J23" s="2855">
        <f>ROUND(2400*Belarus*(1-B71),2)</f>
        <v>2400</v>
      </c>
      <c r="K23" s="2862"/>
    </row>
    <row r="24" spans="1:11" s="46" customFormat="1">
      <c r="A24" s="1818"/>
      <c r="B24" s="97" t="s">
        <v>3876</v>
      </c>
      <c r="C24" s="288" t="s">
        <v>3877</v>
      </c>
      <c r="D24" s="43" t="s">
        <v>3837</v>
      </c>
      <c r="E24" s="50" t="s">
        <v>3878</v>
      </c>
      <c r="F24" s="50" t="s">
        <v>3843</v>
      </c>
      <c r="G24" s="43" t="s">
        <v>3227</v>
      </c>
      <c r="H24" s="1570">
        <f>J24/70</f>
        <v>43.957142857142856</v>
      </c>
      <c r="I24" s="1571"/>
      <c r="J24" s="2855">
        <f>ROUND(3077*Belarus*(1-B75),2)</f>
        <v>3077</v>
      </c>
      <c r="K24" s="2862"/>
    </row>
    <row r="25" spans="1:11" s="46" customFormat="1">
      <c r="A25" s="1818"/>
      <c r="B25" s="97" t="s">
        <v>3879</v>
      </c>
      <c r="C25" s="288" t="s">
        <v>3873</v>
      </c>
      <c r="D25" s="43" t="s">
        <v>3850</v>
      </c>
      <c r="E25" s="43" t="s">
        <v>3845</v>
      </c>
      <c r="F25" s="2863"/>
      <c r="G25" s="43" t="s">
        <v>3227</v>
      </c>
      <c r="H25" s="1540">
        <f>J25/75</f>
        <v>43.74666666666667</v>
      </c>
      <c r="I25" s="1541"/>
      <c r="J25" s="2853">
        <f>ROUND(3281*Belarus*(1-B71),2)</f>
        <v>3281</v>
      </c>
      <c r="K25" s="2854"/>
    </row>
    <row r="26" spans="1:11" s="46" customFormat="1">
      <c r="A26" s="1818"/>
      <c r="B26" s="97" t="s">
        <v>3880</v>
      </c>
      <c r="C26" s="288" t="s">
        <v>3873</v>
      </c>
      <c r="D26" s="43" t="s">
        <v>3850</v>
      </c>
      <c r="E26" s="43" t="s">
        <v>3866</v>
      </c>
      <c r="F26" s="2864"/>
      <c r="G26" s="43" t="s">
        <v>3227</v>
      </c>
      <c r="H26" s="1540">
        <f>J26/75</f>
        <v>55.48</v>
      </c>
      <c r="I26" s="1541"/>
      <c r="J26" s="2853">
        <f>ROUND(4161*Belarus*(1-B71),2)</f>
        <v>4161</v>
      </c>
      <c r="K26" s="2854"/>
    </row>
    <row r="27" spans="1:11" s="46" customFormat="1">
      <c r="A27" s="1791"/>
      <c r="B27" s="97" t="s">
        <v>3881</v>
      </c>
      <c r="C27" s="288" t="s">
        <v>3882</v>
      </c>
      <c r="D27" s="43" t="s">
        <v>3883</v>
      </c>
      <c r="E27" s="43" t="s">
        <v>3884</v>
      </c>
      <c r="F27" s="50" t="s">
        <v>3885</v>
      </c>
      <c r="G27" s="43" t="s">
        <v>3227</v>
      </c>
      <c r="H27" s="1540">
        <f>J27/40</f>
        <v>126</v>
      </c>
      <c r="I27" s="1541"/>
      <c r="J27" s="2853">
        <f>ROUND(5040*Belarus*(1-B78),2)</f>
        <v>5040</v>
      </c>
      <c r="K27" s="2854"/>
    </row>
    <row r="28" spans="1:11" s="46" customFormat="1" ht="7.5" customHeight="1">
      <c r="A28" s="1388"/>
      <c r="B28" s="1388"/>
      <c r="C28" s="1388"/>
      <c r="D28" s="1388"/>
      <c r="E28" s="1388"/>
      <c r="F28" s="1388"/>
      <c r="G28" s="1388"/>
      <c r="H28" s="1388"/>
      <c r="I28" s="1388"/>
      <c r="J28" s="1388"/>
      <c r="K28" s="1388"/>
    </row>
    <row r="29" spans="1:11" s="46" customFormat="1" ht="28.5" customHeight="1">
      <c r="A29" s="1788" t="s">
        <v>3886</v>
      </c>
      <c r="B29" s="102" t="s">
        <v>3887</v>
      </c>
      <c r="C29" s="279" t="s">
        <v>3888</v>
      </c>
      <c r="D29" s="43" t="s">
        <v>3837</v>
      </c>
      <c r="E29" s="43" t="s">
        <v>3855</v>
      </c>
      <c r="F29" s="44" t="s">
        <v>3870</v>
      </c>
      <c r="G29" s="43" t="s">
        <v>3227</v>
      </c>
      <c r="H29" s="219">
        <f>J29/35</f>
        <v>19.685714285714287</v>
      </c>
      <c r="I29" s="219">
        <f>K29/70</f>
        <v>19.328571428571429</v>
      </c>
      <c r="J29" s="827">
        <f>ROUND(689*Belarus*(1-B70),2)</f>
        <v>689</v>
      </c>
      <c r="K29" s="827">
        <f>ROUND(1353*Belarus*(1-B70),2)</f>
        <v>1353</v>
      </c>
    </row>
    <row r="30" spans="1:11" s="46" customFormat="1" ht="17.25" customHeight="1">
      <c r="A30" s="1818"/>
      <c r="B30" s="102" t="s">
        <v>3889</v>
      </c>
      <c r="C30" s="279" t="s">
        <v>3890</v>
      </c>
      <c r="D30" s="43" t="s">
        <v>3837</v>
      </c>
      <c r="E30" s="43" t="s">
        <v>3845</v>
      </c>
      <c r="F30" s="44" t="s">
        <v>3843</v>
      </c>
      <c r="G30" s="43" t="s">
        <v>3227</v>
      </c>
      <c r="H30" s="1540">
        <f>J30/70</f>
        <v>28.114285714285714</v>
      </c>
      <c r="I30" s="1541"/>
      <c r="J30" s="2855">
        <f>ROUND(1968*Belarus*(1-B75),2)</f>
        <v>1968</v>
      </c>
      <c r="K30" s="2856"/>
    </row>
    <row r="31" spans="1:11" s="46" customFormat="1" ht="17.25" customHeight="1">
      <c r="A31" s="1818"/>
      <c r="B31" s="97" t="s">
        <v>3891</v>
      </c>
      <c r="C31" s="288" t="s">
        <v>3892</v>
      </c>
      <c r="D31" s="43" t="s">
        <v>3850</v>
      </c>
      <c r="E31" s="43" t="s">
        <v>3838</v>
      </c>
      <c r="F31" s="43" t="s">
        <v>3839</v>
      </c>
      <c r="G31" s="43" t="s">
        <v>3227</v>
      </c>
      <c r="H31" s="1570">
        <f>J31/75</f>
        <v>33.6</v>
      </c>
      <c r="I31" s="1571"/>
      <c r="J31" s="2858">
        <f>ROUND(2520*Belarus*(1-B71),2)</f>
        <v>2520</v>
      </c>
      <c r="K31" s="2859"/>
    </row>
    <row r="32" spans="1:11" s="46" customFormat="1" ht="17.25" customHeight="1">
      <c r="A32" s="1791"/>
      <c r="B32" s="97" t="s">
        <v>3893</v>
      </c>
      <c r="C32" s="288" t="s">
        <v>3894</v>
      </c>
      <c r="D32" s="43" t="s">
        <v>3858</v>
      </c>
      <c r="E32" s="43" t="s">
        <v>3895</v>
      </c>
      <c r="F32" s="43" t="s">
        <v>3839</v>
      </c>
      <c r="G32" s="43" t="s">
        <v>3227</v>
      </c>
      <c r="H32" s="1540">
        <f>J32/75</f>
        <v>86.666666666666671</v>
      </c>
      <c r="I32" s="1541"/>
      <c r="J32" s="2860">
        <f>ROUND(6500*Belarus*(1-B72),2)</f>
        <v>6500</v>
      </c>
      <c r="K32" s="2861"/>
    </row>
    <row r="33" spans="1:11" s="46" customFormat="1">
      <c r="A33" s="1388" t="s">
        <v>6499</v>
      </c>
      <c r="B33" s="1491"/>
      <c r="C33" s="1491"/>
      <c r="D33" s="1491"/>
      <c r="E33" s="1491"/>
      <c r="F33" s="1491"/>
      <c r="G33" s="1491"/>
      <c r="H33" s="1491"/>
      <c r="I33" s="1491"/>
      <c r="J33" s="1491"/>
      <c r="K33" s="1491"/>
    </row>
    <row r="34" spans="1:11" s="46" customFormat="1" ht="14.25" customHeight="1">
      <c r="A34" s="2857" t="s">
        <v>3896</v>
      </c>
      <c r="B34" s="777" t="s">
        <v>3897</v>
      </c>
      <c r="C34" s="288" t="s">
        <v>3898</v>
      </c>
      <c r="D34" s="43" t="s">
        <v>3837</v>
      </c>
      <c r="E34" s="43" t="s">
        <v>3899</v>
      </c>
      <c r="F34" s="1716" t="s">
        <v>3870</v>
      </c>
      <c r="G34" s="43" t="s">
        <v>3227</v>
      </c>
      <c r="H34" s="767">
        <f>J34/35</f>
        <v>17.142857142857142</v>
      </c>
      <c r="I34" s="767">
        <f>K34/70</f>
        <v>15.714285714285714</v>
      </c>
      <c r="J34" s="724">
        <f>ROUND(600*Belarus*(1-B70),2)</f>
        <v>600</v>
      </c>
      <c r="K34" s="724">
        <f>ROUND(1100*Belarus*(1-B70),2)</f>
        <v>1100</v>
      </c>
    </row>
    <row r="35" spans="1:11" s="46" customFormat="1" ht="14.25" customHeight="1">
      <c r="A35" s="2857"/>
      <c r="B35" s="777" t="s">
        <v>3900</v>
      </c>
      <c r="C35" s="288" t="s">
        <v>3901</v>
      </c>
      <c r="D35" s="43" t="s">
        <v>3837</v>
      </c>
      <c r="E35" s="43" t="s">
        <v>3842</v>
      </c>
      <c r="F35" s="1281"/>
      <c r="G35" s="43" t="s">
        <v>3227</v>
      </c>
      <c r="H35" s="219">
        <f>J35/35</f>
        <v>19.685714285714287</v>
      </c>
      <c r="I35" s="219">
        <f>K35/70</f>
        <v>19.328571428571429</v>
      </c>
      <c r="J35" s="827">
        <f>ROUND(689*Belarus*(1-B70),2)</f>
        <v>689</v>
      </c>
      <c r="K35" s="827">
        <f>ROUND(1353*Belarus*(1-B70),2)</f>
        <v>1353</v>
      </c>
    </row>
    <row r="36" spans="1:11" s="46" customFormat="1" ht="14.25" customHeight="1">
      <c r="A36" s="2857"/>
      <c r="B36" s="777" t="s">
        <v>3902</v>
      </c>
      <c r="C36" s="288" t="s">
        <v>3898</v>
      </c>
      <c r="D36" s="43" t="s">
        <v>3837</v>
      </c>
      <c r="E36" s="43" t="s">
        <v>3903</v>
      </c>
      <c r="F36" s="44" t="s">
        <v>3843</v>
      </c>
      <c r="G36" s="43" t="s">
        <v>3227</v>
      </c>
      <c r="H36" s="1540">
        <f>J36/70</f>
        <v>19.342857142857142</v>
      </c>
      <c r="I36" s="1541"/>
      <c r="J36" s="2855">
        <f>ROUND(1354*Belarus*(1-B75),2)</f>
        <v>1354</v>
      </c>
      <c r="K36" s="2856"/>
    </row>
    <row r="37" spans="1:11" s="46" customFormat="1" ht="14.25" customHeight="1">
      <c r="A37" s="2857"/>
      <c r="B37" s="777" t="s">
        <v>3904</v>
      </c>
      <c r="C37" s="288" t="s">
        <v>3898</v>
      </c>
      <c r="D37" s="43" t="s">
        <v>3837</v>
      </c>
      <c r="E37" s="43" t="s">
        <v>3874</v>
      </c>
      <c r="F37" s="43" t="s">
        <v>3839</v>
      </c>
      <c r="G37" s="43" t="s">
        <v>3227</v>
      </c>
      <c r="H37" s="1540">
        <f>J37/75</f>
        <v>24.666666666666668</v>
      </c>
      <c r="I37" s="1541"/>
      <c r="J37" s="2853">
        <f>ROUND(1850*Belarus*(1-B74),2)</f>
        <v>1850</v>
      </c>
      <c r="K37" s="2854"/>
    </row>
    <row r="38" spans="1:11" s="46" customFormat="1" ht="14.25" customHeight="1">
      <c r="A38" s="2857"/>
      <c r="B38" s="778" t="s">
        <v>3905</v>
      </c>
      <c r="C38" s="288" t="s">
        <v>3906</v>
      </c>
      <c r="D38" s="101" t="s">
        <v>3862</v>
      </c>
      <c r="E38" s="101" t="s">
        <v>3853</v>
      </c>
      <c r="F38" s="101" t="s">
        <v>3907</v>
      </c>
      <c r="G38" s="101" t="s">
        <v>3227</v>
      </c>
      <c r="H38" s="1540">
        <f>J38/100</f>
        <v>69</v>
      </c>
      <c r="I38" s="1541"/>
      <c r="J38" s="2853">
        <f>ROUND(6900*Belarus*(1-B73),2)</f>
        <v>6900</v>
      </c>
      <c r="K38" s="2854"/>
    </row>
    <row r="39" spans="1:11" s="46" customFormat="1" ht="7.5" customHeight="1">
      <c r="A39" s="1388"/>
      <c r="B39" s="1388"/>
      <c r="C39" s="1388"/>
      <c r="D39" s="1388"/>
      <c r="E39" s="1388"/>
      <c r="F39" s="1388"/>
      <c r="G39" s="1388"/>
      <c r="H39" s="1388"/>
      <c r="I39" s="1388"/>
      <c r="J39" s="1388"/>
      <c r="K39" s="1388"/>
    </row>
    <row r="40" spans="1:11" s="46" customFormat="1" ht="46.5" customHeight="1">
      <c r="A40" s="1818" t="s">
        <v>3908</v>
      </c>
      <c r="B40" s="230" t="s">
        <v>3909</v>
      </c>
      <c r="C40" s="288" t="s">
        <v>3898</v>
      </c>
      <c r="D40" s="43" t="s">
        <v>3850</v>
      </c>
      <c r="E40" s="43" t="s">
        <v>3845</v>
      </c>
      <c r="F40" s="1281" t="s">
        <v>3839</v>
      </c>
      <c r="G40" s="43" t="s">
        <v>3227</v>
      </c>
      <c r="H40" s="1570">
        <f>J40/75</f>
        <v>73.546666666666667</v>
      </c>
      <c r="I40" s="1571"/>
      <c r="J40" s="2855">
        <f>ROUND(5516*Belarus*(1-B71),2)</f>
        <v>5516</v>
      </c>
      <c r="K40" s="2856"/>
    </row>
    <row r="41" spans="1:11" s="46" customFormat="1" ht="33.75" customHeight="1">
      <c r="A41" s="1818"/>
      <c r="B41" s="230" t="s">
        <v>3910</v>
      </c>
      <c r="C41" s="288" t="s">
        <v>3911</v>
      </c>
      <c r="D41" s="43" t="s">
        <v>3858</v>
      </c>
      <c r="E41" s="43" t="s">
        <v>3912</v>
      </c>
      <c r="F41" s="1281"/>
      <c r="G41" s="43" t="s">
        <v>3227</v>
      </c>
      <c r="H41" s="1540">
        <f>J41/75</f>
        <v>118.66666666666667</v>
      </c>
      <c r="I41" s="1541"/>
      <c r="J41" s="2853">
        <f>ROUND(8900*Belarus*(1-B72),2)</f>
        <v>8900</v>
      </c>
      <c r="K41" s="2854"/>
    </row>
    <row r="42" spans="1:11" s="46" customFormat="1" ht="7.5" customHeight="1">
      <c r="A42" s="1388"/>
      <c r="B42" s="1388"/>
      <c r="C42" s="1388"/>
      <c r="D42" s="1388"/>
      <c r="E42" s="1388"/>
      <c r="F42" s="1388"/>
      <c r="G42" s="1388"/>
      <c r="H42" s="1388"/>
      <c r="I42" s="1388"/>
      <c r="J42" s="1388"/>
      <c r="K42" s="1388"/>
    </row>
    <row r="43" spans="1:11" s="46" customFormat="1" ht="26.25" customHeight="1">
      <c r="A43" s="1818" t="s">
        <v>3913</v>
      </c>
      <c r="B43" s="230" t="s">
        <v>3914</v>
      </c>
      <c r="C43" s="288" t="s">
        <v>3915</v>
      </c>
      <c r="D43" s="43" t="s">
        <v>3837</v>
      </c>
      <c r="E43" s="43" t="s">
        <v>3916</v>
      </c>
      <c r="F43" s="50" t="s">
        <v>3917</v>
      </c>
      <c r="G43" s="43" t="s">
        <v>3227</v>
      </c>
      <c r="H43" s="1570">
        <f>J43/70</f>
        <v>37.1</v>
      </c>
      <c r="I43" s="1571"/>
      <c r="J43" s="2855">
        <f>ROUND(2597*Belarus*(1-B75),2)</f>
        <v>2597</v>
      </c>
      <c r="K43" s="2856"/>
    </row>
    <row r="44" spans="1:11" s="46" customFormat="1" ht="21" customHeight="1">
      <c r="A44" s="1818"/>
      <c r="B44" s="97" t="s">
        <v>3918</v>
      </c>
      <c r="C44" s="288" t="s">
        <v>3898</v>
      </c>
      <c r="D44" s="101" t="s">
        <v>3850</v>
      </c>
      <c r="E44" s="101" t="s">
        <v>3842</v>
      </c>
      <c r="F44" s="1766" t="s">
        <v>3839</v>
      </c>
      <c r="G44" s="101" t="s">
        <v>3227</v>
      </c>
      <c r="H44" s="1540">
        <f>J44/75</f>
        <v>55.866666666666667</v>
      </c>
      <c r="I44" s="1541"/>
      <c r="J44" s="2853">
        <f>ROUND(4190*Belarus*(1-B71),2)</f>
        <v>4190</v>
      </c>
      <c r="K44" s="2854"/>
    </row>
    <row r="45" spans="1:11" s="46" customFormat="1" ht="21" customHeight="1">
      <c r="A45" s="1818"/>
      <c r="B45" s="97" t="s">
        <v>3919</v>
      </c>
      <c r="C45" s="288" t="s">
        <v>3920</v>
      </c>
      <c r="D45" s="101" t="s">
        <v>3862</v>
      </c>
      <c r="E45" s="101" t="s">
        <v>3853</v>
      </c>
      <c r="F45" s="1442"/>
      <c r="G45" s="101" t="s">
        <v>3227</v>
      </c>
      <c r="H45" s="1540">
        <f>J45/75</f>
        <v>140</v>
      </c>
      <c r="I45" s="1541"/>
      <c r="J45" s="2853">
        <f>ROUND(10500*Belarus*(1-B73),2)</f>
        <v>10500</v>
      </c>
      <c r="K45" s="2854"/>
    </row>
    <row r="46" spans="1:11" s="46" customFormat="1" ht="21" customHeight="1">
      <c r="A46" s="1818"/>
      <c r="B46" s="97" t="s">
        <v>6500</v>
      </c>
      <c r="C46" s="288" t="s">
        <v>6501</v>
      </c>
      <c r="D46" s="101" t="s">
        <v>3862</v>
      </c>
      <c r="E46" s="101" t="s">
        <v>6502</v>
      </c>
      <c r="F46" s="1442"/>
      <c r="G46" s="101" t="s">
        <v>3227</v>
      </c>
      <c r="H46" s="1540">
        <f>J46/75</f>
        <v>196</v>
      </c>
      <c r="I46" s="1541"/>
      <c r="J46" s="2853">
        <f>ROUND(14700*Belarus*(1-B72),2)</f>
        <v>14700</v>
      </c>
      <c r="K46" s="2854"/>
    </row>
    <row r="47" spans="1:11" s="46" customFormat="1" ht="29.25" customHeight="1">
      <c r="A47" s="1452" t="s">
        <v>966</v>
      </c>
      <c r="B47" s="1477"/>
      <c r="C47" s="1477"/>
      <c r="D47" s="1477"/>
      <c r="E47" s="1477"/>
      <c r="F47" s="1477"/>
      <c r="G47" s="1478"/>
      <c r="H47" s="1479" t="s">
        <v>3921</v>
      </c>
      <c r="I47" s="1480"/>
      <c r="J47" s="1479" t="s">
        <v>3922</v>
      </c>
      <c r="K47" s="1480"/>
    </row>
    <row r="48" spans="1:11" s="46" customFormat="1" ht="15" customHeight="1">
      <c r="A48" s="1995" t="s">
        <v>3923</v>
      </c>
      <c r="B48" s="97" t="s">
        <v>3924</v>
      </c>
      <c r="C48" s="288" t="s">
        <v>3925</v>
      </c>
      <c r="D48" s="101" t="s">
        <v>3837</v>
      </c>
      <c r="E48" s="101" t="s">
        <v>369</v>
      </c>
      <c r="F48" s="101" t="s">
        <v>6503</v>
      </c>
      <c r="G48" s="101" t="s">
        <v>3926</v>
      </c>
      <c r="H48" s="2851">
        <f>J48/30</f>
        <v>9.1666666666666661</v>
      </c>
      <c r="I48" s="2852"/>
      <c r="J48" s="1514">
        <f>ROUND(275*Belarus*(1-B75),2)</f>
        <v>275</v>
      </c>
      <c r="K48" s="1516"/>
    </row>
    <row r="49" spans="1:11" s="46" customFormat="1" ht="15" customHeight="1">
      <c r="A49" s="1996"/>
      <c r="B49" s="97" t="s">
        <v>3936</v>
      </c>
      <c r="C49" s="288" t="s">
        <v>3937</v>
      </c>
      <c r="D49" s="506" t="s">
        <v>3862</v>
      </c>
      <c r="E49" s="506" t="s">
        <v>369</v>
      </c>
      <c r="F49" s="506" t="s">
        <v>6504</v>
      </c>
      <c r="G49" s="506" t="s">
        <v>3926</v>
      </c>
      <c r="H49" s="2851">
        <f>J49/30</f>
        <v>31.2</v>
      </c>
      <c r="I49" s="2852"/>
      <c r="J49" s="2853">
        <f>ROUND(936*Belarus*(1-B73),2)</f>
        <v>936</v>
      </c>
      <c r="K49" s="2854"/>
    </row>
    <row r="50" spans="1:11" s="46" customFormat="1" ht="12.75" customHeight="1">
      <c r="A50" s="1996"/>
      <c r="B50" s="97" t="s">
        <v>3927</v>
      </c>
      <c r="C50" s="288" t="s">
        <v>6505</v>
      </c>
      <c r="D50" s="101" t="s">
        <v>3837</v>
      </c>
      <c r="E50" s="101" t="s">
        <v>369</v>
      </c>
      <c r="F50" s="101" t="s">
        <v>6506</v>
      </c>
      <c r="G50" s="101" t="s">
        <v>3926</v>
      </c>
      <c r="H50" s="2851">
        <f>J50/40</f>
        <v>7.375</v>
      </c>
      <c r="I50" s="2852"/>
      <c r="J50" s="1514">
        <f>ROUND(295*Belarus*(1-B75),2)</f>
        <v>295</v>
      </c>
      <c r="K50" s="1516"/>
    </row>
    <row r="51" spans="1:11" s="46" customFormat="1" ht="12.75" customHeight="1">
      <c r="A51" s="1996"/>
      <c r="B51" s="97" t="s">
        <v>3929</v>
      </c>
      <c r="C51" s="288" t="s">
        <v>3930</v>
      </c>
      <c r="D51" s="101" t="s">
        <v>3850</v>
      </c>
      <c r="E51" s="101" t="s">
        <v>369</v>
      </c>
      <c r="F51" s="101" t="s">
        <v>6507</v>
      </c>
      <c r="G51" s="101" t="s">
        <v>3926</v>
      </c>
      <c r="H51" s="2851">
        <f>J51/20</f>
        <v>30</v>
      </c>
      <c r="I51" s="2852"/>
      <c r="J51" s="1514">
        <f>ROUND(600*Belarus*(1-B71),2)</f>
        <v>600</v>
      </c>
      <c r="K51" s="1516"/>
    </row>
    <row r="52" spans="1:11" s="46" customFormat="1" ht="12.75" customHeight="1">
      <c r="A52" s="1996"/>
      <c r="B52" s="97" t="s">
        <v>3939</v>
      </c>
      <c r="C52" s="288" t="s">
        <v>3930</v>
      </c>
      <c r="D52" s="101" t="s">
        <v>3862</v>
      </c>
      <c r="E52" s="101" t="s">
        <v>369</v>
      </c>
      <c r="F52" s="101" t="s">
        <v>6508</v>
      </c>
      <c r="G52" s="101" t="s">
        <v>3926</v>
      </c>
      <c r="H52" s="2851">
        <f>J52/25</f>
        <v>49.28</v>
      </c>
      <c r="I52" s="2852"/>
      <c r="J52" s="2853">
        <f>ROUND(1232*Belarus*(1-B73),2)</f>
        <v>1232</v>
      </c>
      <c r="K52" s="2854"/>
    </row>
    <row r="53" spans="1:11" s="46" customFormat="1" ht="12.75" customHeight="1">
      <c r="A53" s="1996"/>
      <c r="B53" s="97" t="s">
        <v>6509</v>
      </c>
      <c r="C53" s="288" t="s">
        <v>6510</v>
      </c>
      <c r="D53" s="101" t="s">
        <v>3862</v>
      </c>
      <c r="E53" s="101" t="s">
        <v>369</v>
      </c>
      <c r="F53" s="101" t="s">
        <v>6511</v>
      </c>
      <c r="G53" s="101" t="s">
        <v>3926</v>
      </c>
      <c r="H53" s="2851">
        <f>J53/25</f>
        <v>56</v>
      </c>
      <c r="I53" s="2852"/>
      <c r="J53" s="2853">
        <f>ROUND(1400*Belarus*(1-B72),2)</f>
        <v>1400</v>
      </c>
      <c r="K53" s="2854"/>
    </row>
    <row r="54" spans="1:11" s="46" customFormat="1" ht="12.75" customHeight="1">
      <c r="A54" s="1996"/>
      <c r="B54" s="97" t="s">
        <v>3940</v>
      </c>
      <c r="C54" s="288" t="s">
        <v>3941</v>
      </c>
      <c r="D54" s="101" t="s">
        <v>3862</v>
      </c>
      <c r="E54" s="101" t="s">
        <v>369</v>
      </c>
      <c r="F54" s="101" t="s">
        <v>6512</v>
      </c>
      <c r="G54" s="101" t="s">
        <v>3926</v>
      </c>
      <c r="H54" s="2851">
        <f>J54/40</f>
        <v>36.65</v>
      </c>
      <c r="I54" s="2852"/>
      <c r="J54" s="2853">
        <f>ROUND(1466*Belarus*(1-B73),2)</f>
        <v>1466</v>
      </c>
      <c r="K54" s="2854"/>
    </row>
    <row r="55" spans="1:11" s="46" customFormat="1" ht="12.75" customHeight="1">
      <c r="A55" s="1996"/>
      <c r="B55" s="97" t="s">
        <v>6513</v>
      </c>
      <c r="C55" s="288" t="s">
        <v>6514</v>
      </c>
      <c r="D55" s="101" t="s">
        <v>3837</v>
      </c>
      <c r="E55" s="101" t="s">
        <v>369</v>
      </c>
      <c r="F55" s="101" t="s">
        <v>6515</v>
      </c>
      <c r="G55" s="101" t="s">
        <v>3926</v>
      </c>
      <c r="H55" s="2851">
        <f>J55/25</f>
        <v>15</v>
      </c>
      <c r="I55" s="2852"/>
      <c r="J55" s="1514">
        <f>ROUND(375*Belarus*(1-B74),2)</f>
        <v>375</v>
      </c>
      <c r="K55" s="1516"/>
    </row>
    <row r="56" spans="1:11" s="46" customFormat="1">
      <c r="A56" s="1996"/>
      <c r="B56" s="97" t="s">
        <v>3928</v>
      </c>
      <c r="C56" s="288" t="s">
        <v>6516</v>
      </c>
      <c r="D56" s="101" t="s">
        <v>3837</v>
      </c>
      <c r="E56" s="101" t="s">
        <v>369</v>
      </c>
      <c r="F56" s="101" t="s">
        <v>6515</v>
      </c>
      <c r="G56" s="101" t="s">
        <v>3926</v>
      </c>
      <c r="H56" s="2851">
        <f>J56/25</f>
        <v>15</v>
      </c>
      <c r="I56" s="2852"/>
      <c r="J56" s="1514">
        <f>ROUND(375*Belarus*(1-B71),2)</f>
        <v>375</v>
      </c>
      <c r="K56" s="1516"/>
    </row>
    <row r="57" spans="1:11" s="46" customFormat="1">
      <c r="A57" s="1996"/>
      <c r="B57" s="97" t="s">
        <v>3935</v>
      </c>
      <c r="C57" s="288" t="s">
        <v>6665</v>
      </c>
      <c r="D57" s="101" t="s">
        <v>3837</v>
      </c>
      <c r="E57" s="101" t="s">
        <v>369</v>
      </c>
      <c r="F57" s="101" t="s">
        <v>6517</v>
      </c>
      <c r="G57" s="101" t="s">
        <v>3926</v>
      </c>
      <c r="H57" s="2851">
        <f>J57/25</f>
        <v>36.6</v>
      </c>
      <c r="I57" s="2852"/>
      <c r="J57" s="2853">
        <f>ROUND(915*Belarus*(1-B75),2)</f>
        <v>915</v>
      </c>
      <c r="K57" s="2854"/>
    </row>
    <row r="58" spans="1:11" s="46" customFormat="1" ht="15" customHeight="1">
      <c r="A58" s="1996"/>
      <c r="B58" s="97" t="s">
        <v>3938</v>
      </c>
      <c r="C58" s="288" t="s">
        <v>6666</v>
      </c>
      <c r="D58" s="506" t="s">
        <v>3862</v>
      </c>
      <c r="E58" s="506" t="s">
        <v>369</v>
      </c>
      <c r="F58" s="506" t="s">
        <v>6518</v>
      </c>
      <c r="G58" s="506" t="s">
        <v>3926</v>
      </c>
      <c r="H58" s="2851">
        <f>J58/25</f>
        <v>44</v>
      </c>
      <c r="I58" s="2852"/>
      <c r="J58" s="2853">
        <f>ROUND(1100*Belarus*(1-B72),2)</f>
        <v>1100</v>
      </c>
      <c r="K58" s="2854"/>
    </row>
    <row r="59" spans="1:11" s="46" customFormat="1" ht="15" customHeight="1">
      <c r="A59" s="1996"/>
      <c r="B59" s="97" t="s">
        <v>3942</v>
      </c>
      <c r="C59" s="288" t="s">
        <v>6665</v>
      </c>
      <c r="D59" s="101" t="s">
        <v>3862</v>
      </c>
      <c r="E59" s="101" t="s">
        <v>369</v>
      </c>
      <c r="F59" s="101" t="s">
        <v>6519</v>
      </c>
      <c r="G59" s="101" t="s">
        <v>3926</v>
      </c>
      <c r="H59" s="2851">
        <f>J59/50</f>
        <v>30.88</v>
      </c>
      <c r="I59" s="2852"/>
      <c r="J59" s="2853">
        <f>ROUND(1544*Belarus*(1-B73),2)</f>
        <v>1544</v>
      </c>
      <c r="K59" s="2854"/>
    </row>
    <row r="60" spans="1:11" s="46" customFormat="1">
      <c r="A60" s="1996"/>
      <c r="B60" s="97" t="s">
        <v>3931</v>
      </c>
      <c r="C60" s="288" t="s">
        <v>3932</v>
      </c>
      <c r="D60" s="101" t="s">
        <v>3862</v>
      </c>
      <c r="E60" s="101" t="s">
        <v>369</v>
      </c>
      <c r="F60" s="101" t="s">
        <v>890</v>
      </c>
      <c r="G60" s="101" t="s">
        <v>845</v>
      </c>
      <c r="H60" s="1514">
        <f>ROUND(858*Belarus*(1-B73),2)</f>
        <v>858</v>
      </c>
      <c r="I60" s="1515"/>
      <c r="J60" s="1515"/>
      <c r="K60" s="1516"/>
    </row>
    <row r="61" spans="1:11" s="46" customFormat="1">
      <c r="A61" s="2001"/>
      <c r="B61" s="97" t="s">
        <v>3933</v>
      </c>
      <c r="C61" s="288" t="s">
        <v>3934</v>
      </c>
      <c r="D61" s="101" t="s">
        <v>3862</v>
      </c>
      <c r="E61" s="101" t="s">
        <v>369</v>
      </c>
      <c r="F61" s="101" t="s">
        <v>890</v>
      </c>
      <c r="G61" s="101" t="s">
        <v>845</v>
      </c>
      <c r="H61" s="1514">
        <f>ROUND(858*Belarus*(1-B73),2)</f>
        <v>858</v>
      </c>
      <c r="I61" s="1515"/>
      <c r="J61" s="1515"/>
      <c r="K61" s="1516"/>
    </row>
    <row r="62" spans="1:11" s="46" customFormat="1">
      <c r="A62" s="2847" t="s">
        <v>3943</v>
      </c>
      <c r="B62" s="2847"/>
      <c r="C62" s="2847"/>
      <c r="D62" s="2847"/>
      <c r="E62" s="2847"/>
      <c r="F62" s="589" t="s">
        <v>3228</v>
      </c>
      <c r="G62" s="2847" t="s">
        <v>3944</v>
      </c>
      <c r="H62" s="2847"/>
      <c r="I62" s="2847"/>
      <c r="J62" s="2847"/>
      <c r="K62" s="2847"/>
    </row>
    <row r="63" spans="1:11" s="46" customFormat="1">
      <c r="A63" s="2425" t="s">
        <v>4325</v>
      </c>
      <c r="B63" s="2425"/>
      <c r="C63" s="2425"/>
      <c r="D63" s="2425"/>
      <c r="E63" s="2425"/>
      <c r="F63" s="50" t="s">
        <v>845</v>
      </c>
      <c r="G63" s="2848">
        <f>650*Belarus</f>
        <v>650</v>
      </c>
      <c r="H63" s="2849"/>
      <c r="I63" s="2849"/>
      <c r="J63" s="2849"/>
      <c r="K63" s="2850"/>
    </row>
    <row r="64" spans="1:11">
      <c r="A64" s="2843" t="s">
        <v>2643</v>
      </c>
      <c r="B64" s="2843"/>
      <c r="C64" s="2843"/>
      <c r="D64" s="2843"/>
      <c r="E64" s="2843"/>
      <c r="F64" s="50" t="s">
        <v>3945</v>
      </c>
      <c r="G64" s="1572" t="str">
        <f>(60*Belarus)&amp;" / "&amp;(65*Belarus)&amp;" / "&amp;(70*Belarus)</f>
        <v>60 / 65 / 70</v>
      </c>
      <c r="H64" s="1572"/>
      <c r="I64" s="1572"/>
      <c r="J64" s="1572"/>
      <c r="K64" s="1572"/>
    </row>
    <row r="65" spans="1:11">
      <c r="A65" s="2844" t="s">
        <v>3946</v>
      </c>
      <c r="B65" s="2844"/>
      <c r="C65" s="2844"/>
      <c r="D65" s="2844"/>
      <c r="E65" s="2844"/>
      <c r="F65" s="2844"/>
      <c r="G65" s="2844"/>
      <c r="H65" s="2844"/>
      <c r="I65" s="2844"/>
      <c r="J65" s="2844"/>
      <c r="K65" s="2844"/>
    </row>
    <row r="66" spans="1:11">
      <c r="A66" s="2844" t="s">
        <v>1127</v>
      </c>
      <c r="B66" s="2844"/>
      <c r="C66" s="2844"/>
      <c r="D66" s="2844"/>
      <c r="E66" s="2844"/>
      <c r="F66" s="2844"/>
      <c r="G66" s="2844"/>
      <c r="H66" s="2844"/>
      <c r="I66" s="2844"/>
      <c r="J66" s="2844"/>
      <c r="K66" s="2844"/>
    </row>
    <row r="67" spans="1:11">
      <c r="A67" s="1"/>
      <c r="B67" s="1"/>
      <c r="C67" s="1"/>
      <c r="D67" s="1"/>
      <c r="E67" s="24"/>
      <c r="F67" s="24"/>
      <c r="G67" s="1"/>
      <c r="H67" s="1"/>
      <c r="I67" s="1"/>
      <c r="J67" s="1"/>
    </row>
    <row r="69" spans="1:11">
      <c r="A69" s="2845" t="s">
        <v>508</v>
      </c>
      <c r="B69" s="2846"/>
      <c r="J69" s="1"/>
    </row>
    <row r="70" spans="1:11">
      <c r="A70" s="779" t="s">
        <v>3947</v>
      </c>
      <c r="B70" s="590">
        <v>0</v>
      </c>
      <c r="C70" s="780"/>
      <c r="J70" s="1"/>
    </row>
    <row r="71" spans="1:11">
      <c r="A71" s="779" t="s">
        <v>3948</v>
      </c>
      <c r="B71" s="590">
        <v>0</v>
      </c>
      <c r="C71" s="780"/>
      <c r="J71" s="1"/>
    </row>
    <row r="72" spans="1:11">
      <c r="A72" s="779" t="s">
        <v>3949</v>
      </c>
      <c r="B72" s="590">
        <v>0</v>
      </c>
      <c r="C72" s="780"/>
      <c r="J72" s="1"/>
    </row>
    <row r="73" spans="1:11">
      <c r="A73" s="779" t="s">
        <v>3950</v>
      </c>
      <c r="B73" s="590">
        <v>0</v>
      </c>
      <c r="C73" s="780"/>
      <c r="J73" s="1"/>
    </row>
    <row r="74" spans="1:11">
      <c r="A74" s="779" t="s">
        <v>3951</v>
      </c>
      <c r="B74" s="590">
        <v>0</v>
      </c>
      <c r="C74" s="780"/>
      <c r="J74" s="1"/>
    </row>
    <row r="75" spans="1:11">
      <c r="A75" s="779" t="s">
        <v>3952</v>
      </c>
      <c r="B75" s="591">
        <v>0</v>
      </c>
      <c r="C75" s="781"/>
      <c r="J75" s="1"/>
    </row>
    <row r="76" spans="1:11">
      <c r="A76" s="779" t="s">
        <v>3953</v>
      </c>
      <c r="B76" s="591">
        <v>0</v>
      </c>
      <c r="C76" s="781"/>
      <c r="D76" s="782"/>
      <c r="E76" s="782"/>
      <c r="F76" s="782"/>
      <c r="G76" s="782"/>
      <c r="H76" s="783"/>
      <c r="I76" s="1"/>
      <c r="J76" s="1"/>
    </row>
    <row r="77" spans="1:11">
      <c r="A77" s="779" t="s">
        <v>3954</v>
      </c>
      <c r="B77" s="591">
        <v>0</v>
      </c>
      <c r="C77" s="781"/>
      <c r="D77" s="782"/>
      <c r="E77" s="782"/>
      <c r="F77" s="782"/>
      <c r="G77" s="782"/>
      <c r="H77" s="783"/>
      <c r="I77" s="1"/>
      <c r="J77" s="1"/>
    </row>
    <row r="78" spans="1:11">
      <c r="A78" s="779" t="s">
        <v>3229</v>
      </c>
      <c r="B78" s="591">
        <v>0</v>
      </c>
      <c r="C78" s="781"/>
      <c r="D78" s="782"/>
      <c r="E78" s="782"/>
      <c r="F78" s="782"/>
      <c r="G78" s="782"/>
      <c r="H78" s="782"/>
      <c r="I78" s="782"/>
      <c r="J78" s="1"/>
    </row>
  </sheetData>
  <mergeCells count="131">
    <mergeCell ref="A1:E1"/>
    <mergeCell ref="A2:E2"/>
    <mergeCell ref="I2:K2"/>
    <mergeCell ref="I3:K3"/>
    <mergeCell ref="A4:A5"/>
    <mergeCell ref="B4:B5"/>
    <mergeCell ref="D4:D5"/>
    <mergeCell ref="E4:E5"/>
    <mergeCell ref="F4:F5"/>
    <mergeCell ref="G4:G5"/>
    <mergeCell ref="H4:K4"/>
    <mergeCell ref="H5:I5"/>
    <mergeCell ref="J5:K5"/>
    <mergeCell ref="A6:K6"/>
    <mergeCell ref="A7:A18"/>
    <mergeCell ref="H7:I7"/>
    <mergeCell ref="J7:K7"/>
    <mergeCell ref="H8:I8"/>
    <mergeCell ref="J8:K8"/>
    <mergeCell ref="H9:I9"/>
    <mergeCell ref="J9:K9"/>
    <mergeCell ref="H10:I10"/>
    <mergeCell ref="J10:K10"/>
    <mergeCell ref="H11:I11"/>
    <mergeCell ref="J11:K11"/>
    <mergeCell ref="H12:I12"/>
    <mergeCell ref="J12:K12"/>
    <mergeCell ref="H13:I13"/>
    <mergeCell ref="J13:K13"/>
    <mergeCell ref="F14:F18"/>
    <mergeCell ref="H14:I14"/>
    <mergeCell ref="J14:K14"/>
    <mergeCell ref="H15:I15"/>
    <mergeCell ref="J15:K15"/>
    <mergeCell ref="H16:I16"/>
    <mergeCell ref="J16:K16"/>
    <mergeCell ref="H17:I17"/>
    <mergeCell ref="J17:K17"/>
    <mergeCell ref="H18:I18"/>
    <mergeCell ref="J18:K18"/>
    <mergeCell ref="A19:K19"/>
    <mergeCell ref="A20:A27"/>
    <mergeCell ref="H21:I21"/>
    <mergeCell ref="J21:K21"/>
    <mergeCell ref="H22:I22"/>
    <mergeCell ref="J22:K22"/>
    <mergeCell ref="H23:I23"/>
    <mergeCell ref="J23:K23"/>
    <mergeCell ref="H24:I24"/>
    <mergeCell ref="J24:K24"/>
    <mergeCell ref="F25:F26"/>
    <mergeCell ref="H25:I25"/>
    <mergeCell ref="J25:K25"/>
    <mergeCell ref="H26:I26"/>
    <mergeCell ref="J26:K26"/>
    <mergeCell ref="H27:I27"/>
    <mergeCell ref="J27:K27"/>
    <mergeCell ref="A28:K28"/>
    <mergeCell ref="A29:A32"/>
    <mergeCell ref="H30:I30"/>
    <mergeCell ref="J30:K30"/>
    <mergeCell ref="H31:I31"/>
    <mergeCell ref="J31:K31"/>
    <mergeCell ref="H32:I32"/>
    <mergeCell ref="J32:K32"/>
    <mergeCell ref="A33:K33"/>
    <mergeCell ref="A34:A38"/>
    <mergeCell ref="F34:F35"/>
    <mergeCell ref="H36:I36"/>
    <mergeCell ref="J36:K36"/>
    <mergeCell ref="H37:I37"/>
    <mergeCell ref="J37:K37"/>
    <mergeCell ref="H38:I38"/>
    <mergeCell ref="J38:K38"/>
    <mergeCell ref="A39:K39"/>
    <mergeCell ref="A40:A41"/>
    <mergeCell ref="F40:F41"/>
    <mergeCell ref="H40:I40"/>
    <mergeCell ref="J40:K40"/>
    <mergeCell ref="H41:I41"/>
    <mergeCell ref="J41:K41"/>
    <mergeCell ref="A42:K42"/>
    <mergeCell ref="A43:A46"/>
    <mergeCell ref="H43:I43"/>
    <mergeCell ref="J43:K43"/>
    <mergeCell ref="F44:F46"/>
    <mergeCell ref="H44:I44"/>
    <mergeCell ref="J44:K44"/>
    <mergeCell ref="H45:I45"/>
    <mergeCell ref="J45:K45"/>
    <mergeCell ref="H46:I46"/>
    <mergeCell ref="J46:K46"/>
    <mergeCell ref="A47:G47"/>
    <mergeCell ref="H47:I47"/>
    <mergeCell ref="J47:K47"/>
    <mergeCell ref="A48:A61"/>
    <mergeCell ref="H48:I48"/>
    <mergeCell ref="J48:K48"/>
    <mergeCell ref="H49:I49"/>
    <mergeCell ref="J49:K49"/>
    <mergeCell ref="H50:I50"/>
    <mergeCell ref="J50:K50"/>
    <mergeCell ref="H51:I51"/>
    <mergeCell ref="J51:K51"/>
    <mergeCell ref="H52:I52"/>
    <mergeCell ref="J52:K52"/>
    <mergeCell ref="H53:I53"/>
    <mergeCell ref="J53:K53"/>
    <mergeCell ref="H54:I54"/>
    <mergeCell ref="J54:K54"/>
    <mergeCell ref="H55:I55"/>
    <mergeCell ref="J55:K55"/>
    <mergeCell ref="H56:I56"/>
    <mergeCell ref="J56:K56"/>
    <mergeCell ref="G63:K63"/>
    <mergeCell ref="H57:I57"/>
    <mergeCell ref="J57:K57"/>
    <mergeCell ref="H58:I58"/>
    <mergeCell ref="J58:K58"/>
    <mergeCell ref="H59:I59"/>
    <mergeCell ref="J59:K59"/>
    <mergeCell ref="A64:E64"/>
    <mergeCell ref="G64:K64"/>
    <mergeCell ref="A65:K65"/>
    <mergeCell ref="A66:K66"/>
    <mergeCell ref="A69:B69"/>
    <mergeCell ref="H60:K60"/>
    <mergeCell ref="H61:K61"/>
    <mergeCell ref="A62:E62"/>
    <mergeCell ref="G62:K62"/>
    <mergeCell ref="A63:E63"/>
  </mergeCells>
  <hyperlinks>
    <hyperlink ref="A1" location="Содержание прайса!A1" display="Вернуться в начало"/>
    <hyperlink ref="A1:E1" location="'Содержание прайса'!A1" display="Вернуться в начало"/>
  </hyperlinks>
  <printOptions horizontalCentered="1"/>
  <pageMargins left="0.19685039370078741" right="0.19685039370078741" top="0.47244094488188981" bottom="0.19685039370078741" header="0" footer="0"/>
  <pageSetup paperSize="9" scale="54" orientation="landscape" horizontalDpi="300" verticalDpi="300" r:id="rId1"/>
  <headerFooter>
    <oddHeader>&amp;L&amp;G&amp;R&amp;5Центр поддержки клиентов Grand Line: +7 (495) 748-38-38 
cайт: www.grandline.ru</oddHeader>
    <oddFooter>&amp;R&amp;5Страница 47</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K86"/>
  <sheetViews>
    <sheetView zoomScale="70" zoomScaleNormal="70" workbookViewId="0">
      <selection activeCell="A2" sqref="A2:G2"/>
    </sheetView>
  </sheetViews>
  <sheetFormatPr defaultRowHeight="12.75"/>
  <cols>
    <col min="1" max="1" width="55.28515625" style="15" customWidth="1"/>
    <col min="2" max="2" width="13.5703125" style="15" customWidth="1"/>
    <col min="3" max="3" width="18.140625" style="15" customWidth="1"/>
    <col min="4" max="4" width="9.5703125" style="15" customWidth="1"/>
    <col min="5" max="5" width="8.42578125" style="15" customWidth="1"/>
    <col min="6" max="6" width="2.42578125" style="228" customWidth="1"/>
    <col min="7" max="7" width="43.7109375" style="228" customWidth="1"/>
    <col min="8" max="8" width="18.28515625" style="228" customWidth="1"/>
    <col min="9" max="9" width="17.28515625" style="228" customWidth="1"/>
    <col min="10" max="10" width="7.42578125" style="228" customWidth="1"/>
    <col min="11" max="11" width="10" style="228" customWidth="1"/>
    <col min="12" max="16384" width="9.140625" style="1"/>
  </cols>
  <sheetData>
    <row r="1" spans="1:11" s="592" customFormat="1">
      <c r="A1" s="1666" t="s">
        <v>312</v>
      </c>
      <c r="B1" s="1666"/>
      <c r="C1" s="1666"/>
      <c r="D1" s="1666"/>
      <c r="E1" s="46"/>
      <c r="F1" s="46"/>
      <c r="G1" s="46"/>
      <c r="H1" s="46"/>
      <c r="I1" s="46"/>
      <c r="J1" s="151"/>
      <c r="K1" s="151"/>
    </row>
    <row r="2" spans="1:11" s="54" customFormat="1" ht="18.75" thickBot="1">
      <c r="A2" s="2433" t="s">
        <v>139</v>
      </c>
      <c r="B2" s="2433"/>
      <c r="C2" s="2433"/>
      <c r="D2" s="2433"/>
      <c r="E2" s="2433"/>
      <c r="F2" s="2433"/>
      <c r="G2" s="2433"/>
      <c r="H2" s="762"/>
      <c r="I2" s="763" t="s">
        <v>313</v>
      </c>
      <c r="J2" s="1973">
        <v>43301</v>
      </c>
      <c r="K2" s="2868"/>
    </row>
    <row r="3" spans="1:11" s="228" customFormat="1">
      <c r="A3" s="15"/>
      <c r="B3" s="15"/>
      <c r="C3" s="15"/>
      <c r="D3" s="15"/>
      <c r="E3" s="15"/>
      <c r="I3" s="343" t="s">
        <v>315</v>
      </c>
      <c r="J3" s="2869">
        <v>43300</v>
      </c>
      <c r="K3" s="2869"/>
    </row>
    <row r="4" spans="1:11" s="228" customFormat="1" ht="24.75" customHeight="1">
      <c r="A4" s="593" t="s">
        <v>307</v>
      </c>
      <c r="B4" s="593" t="s">
        <v>3228</v>
      </c>
      <c r="C4" s="594" t="s">
        <v>3230</v>
      </c>
      <c r="D4" s="1398" t="s">
        <v>3231</v>
      </c>
      <c r="E4" s="1398"/>
      <c r="G4" s="1398" t="s">
        <v>307</v>
      </c>
      <c r="H4" s="1398"/>
      <c r="I4" s="1398"/>
      <c r="J4" s="126" t="s">
        <v>622</v>
      </c>
      <c r="K4" s="126" t="s">
        <v>3231</v>
      </c>
    </row>
    <row r="5" spans="1:11" s="228" customFormat="1" ht="12.75" customHeight="1">
      <c r="A5" s="2870" t="s">
        <v>786</v>
      </c>
      <c r="B5" s="2870"/>
      <c r="C5" s="2870"/>
      <c r="D5" s="2870"/>
      <c r="E5" s="2870"/>
      <c r="G5" s="2870" t="s">
        <v>3232</v>
      </c>
      <c r="H5" s="2870"/>
      <c r="I5" s="2870"/>
      <c r="J5" s="2870"/>
      <c r="K5" s="2870"/>
    </row>
    <row r="6" spans="1:11" s="228" customFormat="1">
      <c r="A6" s="595" t="s">
        <v>3233</v>
      </c>
      <c r="B6" s="596" t="s">
        <v>640</v>
      </c>
      <c r="C6" s="597">
        <v>250</v>
      </c>
      <c r="D6" s="1297">
        <f>ROUND(4*Belarus*(1-B69),2)</f>
        <v>4</v>
      </c>
      <c r="E6" s="1297"/>
      <c r="G6" s="1351" t="s">
        <v>3234</v>
      </c>
      <c r="H6" s="1351"/>
      <c r="I6" s="1351"/>
      <c r="J6" s="103" t="s">
        <v>640</v>
      </c>
      <c r="K6" s="1152">
        <f>ROUND(360*Belarus*(1-B74),2)</f>
        <v>360</v>
      </c>
    </row>
    <row r="7" spans="1:11" s="228" customFormat="1">
      <c r="A7" s="595" t="s">
        <v>3235</v>
      </c>
      <c r="B7" s="596" t="s">
        <v>640</v>
      </c>
      <c r="C7" s="597">
        <v>250</v>
      </c>
      <c r="D7" s="1297">
        <f>ROUND(4*Belarus*(1-B69),2)</f>
        <v>4</v>
      </c>
      <c r="E7" s="1297"/>
      <c r="G7" s="1351" t="s">
        <v>3779</v>
      </c>
      <c r="H7" s="1351"/>
      <c r="I7" s="1351"/>
      <c r="J7" s="103" t="s">
        <v>640</v>
      </c>
      <c r="K7" s="178">
        <f>ROUND(640*Belarus*(1-B75),2)</f>
        <v>640</v>
      </c>
    </row>
    <row r="8" spans="1:11" s="228" customFormat="1">
      <c r="A8" s="598" t="s">
        <v>3236</v>
      </c>
      <c r="B8" s="596" t="s">
        <v>640</v>
      </c>
      <c r="C8" s="597">
        <v>150</v>
      </c>
      <c r="D8" s="1297">
        <f>ROUND(5.5*Belarus*(1-B69),2)</f>
        <v>5.5</v>
      </c>
      <c r="E8" s="1297"/>
      <c r="G8" s="1351" t="s">
        <v>3237</v>
      </c>
      <c r="H8" s="1351"/>
      <c r="I8" s="1351"/>
      <c r="J8" s="103" t="s">
        <v>640</v>
      </c>
      <c r="K8" s="178" t="str">
        <f>ROUND(820*Belarus*(1-B75),2)&amp;" (2)"</f>
        <v>820 (2)</v>
      </c>
    </row>
    <row r="9" spans="1:11" s="228" customFormat="1">
      <c r="A9" s="598" t="s">
        <v>3238</v>
      </c>
      <c r="B9" s="596" t="s">
        <v>640</v>
      </c>
      <c r="C9" s="597">
        <v>100</v>
      </c>
      <c r="D9" s="1297">
        <f>ROUND(6.8*Belarus*(1-B69),2)</f>
        <v>6.8</v>
      </c>
      <c r="E9" s="1297"/>
      <c r="G9" s="2870" t="s">
        <v>30</v>
      </c>
      <c r="H9" s="2870"/>
      <c r="I9" s="2870"/>
      <c r="J9" s="2870"/>
      <c r="K9" s="2870"/>
    </row>
    <row r="10" spans="1:11" s="228" customFormat="1" ht="25.5" customHeight="1">
      <c r="A10" s="599" t="s">
        <v>3239</v>
      </c>
      <c r="B10" s="373" t="s">
        <v>640</v>
      </c>
      <c r="C10" s="600">
        <v>1000</v>
      </c>
      <c r="D10" s="1297">
        <f>ROUND(0.74*Belarus*(1-B71),2)</f>
        <v>0.74</v>
      </c>
      <c r="E10" s="1297"/>
      <c r="G10" s="1409" t="s">
        <v>1108</v>
      </c>
      <c r="H10" s="1410"/>
      <c r="I10" s="1411"/>
      <c r="J10" s="103" t="s">
        <v>640</v>
      </c>
      <c r="K10" s="87">
        <f>ROUND(170*Belarus*(1-B76),2)</f>
        <v>170</v>
      </c>
    </row>
    <row r="11" spans="1:11" s="228" customFormat="1" ht="24.75" customHeight="1">
      <c r="A11" s="599" t="s">
        <v>3239</v>
      </c>
      <c r="B11" s="373" t="s">
        <v>640</v>
      </c>
      <c r="C11" s="600">
        <v>1500</v>
      </c>
      <c r="D11" s="1297">
        <f>ROUND(0.74*Belarus*(1-B71),2)</f>
        <v>0.74</v>
      </c>
      <c r="E11" s="1297"/>
      <c r="G11" s="2870" t="s">
        <v>83</v>
      </c>
      <c r="H11" s="2870"/>
      <c r="I11" s="2870"/>
      <c r="J11" s="2870"/>
      <c r="K11" s="2870"/>
    </row>
    <row r="12" spans="1:11" s="228" customFormat="1">
      <c r="A12" s="2870" t="s">
        <v>2860</v>
      </c>
      <c r="B12" s="2870"/>
      <c r="C12" s="2870"/>
      <c r="D12" s="2870"/>
      <c r="E12" s="2870"/>
      <c r="G12" s="1409" t="s">
        <v>773</v>
      </c>
      <c r="H12" s="1410"/>
      <c r="I12" s="1411"/>
      <c r="J12" s="101" t="s">
        <v>640</v>
      </c>
      <c r="K12" s="87">
        <f>ROUND(399*Belarus*(1-B77),2)</f>
        <v>399</v>
      </c>
    </row>
    <row r="13" spans="1:11" s="228" customFormat="1">
      <c r="A13" s="598" t="s">
        <v>3240</v>
      </c>
      <c r="B13" s="596" t="s">
        <v>640</v>
      </c>
      <c r="C13" s="601">
        <v>250</v>
      </c>
      <c r="D13" s="1297">
        <f>ROUND(4*Belarus*(1-B70),2)</f>
        <v>4</v>
      </c>
      <c r="E13" s="1297"/>
      <c r="G13" s="1409" t="s">
        <v>3241</v>
      </c>
      <c r="H13" s="1410"/>
      <c r="I13" s="1411"/>
      <c r="J13" s="103" t="s">
        <v>640</v>
      </c>
      <c r="K13" s="87">
        <v>210</v>
      </c>
    </row>
    <row r="14" spans="1:11" s="228" customFormat="1">
      <c r="A14" s="598" t="s">
        <v>3242</v>
      </c>
      <c r="B14" s="596" t="s">
        <v>640</v>
      </c>
      <c r="C14" s="601">
        <v>250</v>
      </c>
      <c r="D14" s="1297">
        <f>ROUND(4*Belarus*(1-B70),2)</f>
        <v>4</v>
      </c>
      <c r="E14" s="1297"/>
      <c r="G14" s="2871" t="s">
        <v>3243</v>
      </c>
      <c r="H14" s="2871"/>
      <c r="I14" s="2871"/>
      <c r="J14" s="2871"/>
      <c r="K14" s="2871"/>
    </row>
    <row r="15" spans="1:11" s="228" customFormat="1">
      <c r="A15" s="598" t="s">
        <v>3244</v>
      </c>
      <c r="B15" s="596" t="s">
        <v>640</v>
      </c>
      <c r="C15" s="601">
        <v>250</v>
      </c>
      <c r="D15" s="1297">
        <f>ROUND(5*Belarus*(1-B70),2)</f>
        <v>5</v>
      </c>
      <c r="E15" s="1297"/>
      <c r="G15" s="1409" t="s">
        <v>3245</v>
      </c>
      <c r="H15" s="1410"/>
      <c r="I15" s="1411"/>
      <c r="J15" s="101" t="s">
        <v>640</v>
      </c>
      <c r="K15" s="87">
        <f>ROUND(748*Belarus*(1-B79),2)</f>
        <v>748</v>
      </c>
    </row>
    <row r="16" spans="1:11" s="228" customFormat="1">
      <c r="A16" s="598" t="s">
        <v>3246</v>
      </c>
      <c r="B16" s="596" t="s">
        <v>640</v>
      </c>
      <c r="C16" s="601">
        <v>250</v>
      </c>
      <c r="D16" s="1297">
        <f>ROUND(4*Belarus*(1-B70),2)</f>
        <v>4</v>
      </c>
      <c r="E16" s="1297"/>
      <c r="G16" s="1409" t="s">
        <v>3780</v>
      </c>
      <c r="H16" s="1410"/>
      <c r="I16" s="1411"/>
      <c r="J16" s="101" t="s">
        <v>640</v>
      </c>
      <c r="K16" s="87">
        <f>ROUND(340*Belarus*(1-B79),2)</f>
        <v>340</v>
      </c>
    </row>
    <row r="17" spans="1:11" s="228" customFormat="1" ht="12.75" customHeight="1">
      <c r="A17" s="2870" t="s">
        <v>791</v>
      </c>
      <c r="B17" s="2870"/>
      <c r="C17" s="2870"/>
      <c r="D17" s="2870"/>
      <c r="E17" s="2870"/>
      <c r="G17" s="1409" t="s">
        <v>3781</v>
      </c>
      <c r="H17" s="1410"/>
      <c r="I17" s="1411"/>
      <c r="J17" s="101" t="s">
        <v>640</v>
      </c>
      <c r="K17" s="87">
        <f>ROUND(1092*Belarus*(1-B79),2)</f>
        <v>1092</v>
      </c>
    </row>
    <row r="18" spans="1:11" s="228" customFormat="1" ht="12.75" customHeight="1">
      <c r="A18" s="602" t="s">
        <v>3247</v>
      </c>
      <c r="B18" s="603" t="s">
        <v>640</v>
      </c>
      <c r="C18" s="604">
        <v>1000</v>
      </c>
      <c r="D18" s="1297">
        <f>ROUND(1.5*Belarus*(1-B71),2)</f>
        <v>1.5</v>
      </c>
      <c r="E18" s="1297"/>
      <c r="G18" s="1409" t="s">
        <v>3248</v>
      </c>
      <c r="H18" s="1410"/>
      <c r="I18" s="1411"/>
      <c r="J18" s="101" t="s">
        <v>640</v>
      </c>
      <c r="K18" s="87">
        <f>ROUND(982*Belarus*(1-B80),2)</f>
        <v>982</v>
      </c>
    </row>
    <row r="19" spans="1:11" s="228" customFormat="1" ht="12" customHeight="1">
      <c r="A19" s="605" t="s">
        <v>3249</v>
      </c>
      <c r="B19" s="603" t="s">
        <v>640</v>
      </c>
      <c r="C19" s="604">
        <v>1000</v>
      </c>
      <c r="D19" s="1297">
        <f>ROUND(1.55*Belarus*(1-B71),2)</f>
        <v>1.55</v>
      </c>
      <c r="E19" s="1297"/>
      <c r="G19" s="1418" t="s">
        <v>3250</v>
      </c>
      <c r="H19" s="1419"/>
      <c r="I19" s="1420"/>
      <c r="J19" s="1765" t="s">
        <v>3227</v>
      </c>
      <c r="K19" s="1725">
        <f>ROUND(2950*Belarus*(1-B81),2)</f>
        <v>2950</v>
      </c>
    </row>
    <row r="20" spans="1:11" s="228" customFormat="1" ht="12.75" customHeight="1">
      <c r="A20" s="605" t="s">
        <v>3251</v>
      </c>
      <c r="B20" s="603" t="s">
        <v>640</v>
      </c>
      <c r="C20" s="604">
        <v>500</v>
      </c>
      <c r="D20" s="1297">
        <f>ROUND(1.9*Belarus*(1-B71),2)</f>
        <v>1.9</v>
      </c>
      <c r="E20" s="1297"/>
      <c r="G20" s="1424"/>
      <c r="H20" s="1425"/>
      <c r="I20" s="1426"/>
      <c r="J20" s="1456"/>
      <c r="K20" s="1726"/>
    </row>
    <row r="21" spans="1:11" s="228" customFormat="1" ht="12.75" customHeight="1">
      <c r="A21" s="602" t="s">
        <v>3252</v>
      </c>
      <c r="B21" s="603" t="s">
        <v>640</v>
      </c>
      <c r="C21" s="604">
        <v>1000</v>
      </c>
      <c r="D21" s="1297">
        <f>ROUND(1.03*Belarus*(1-B71),2)</f>
        <v>1.03</v>
      </c>
      <c r="E21" s="2872"/>
      <c r="G21" s="1409" t="s">
        <v>3253</v>
      </c>
      <c r="H21" s="1410"/>
      <c r="I21" s="1411"/>
      <c r="J21" s="101" t="s">
        <v>3227</v>
      </c>
      <c r="K21" s="87">
        <f>ROUND(1600*Belarus*(1-B81),2)</f>
        <v>1600</v>
      </c>
    </row>
    <row r="22" spans="1:11" s="228" customFormat="1" ht="12" customHeight="1">
      <c r="A22" s="605" t="s">
        <v>3254</v>
      </c>
      <c r="B22" s="603" t="s">
        <v>640</v>
      </c>
      <c r="C22" s="604">
        <v>800</v>
      </c>
      <c r="D22" s="1297">
        <f>ROUND(1.16*Belarus*(1-B71),2)</f>
        <v>1.1599999999999999</v>
      </c>
      <c r="E22" s="2872"/>
      <c r="G22" s="2871" t="s">
        <v>3255</v>
      </c>
      <c r="H22" s="2871"/>
      <c r="I22" s="2871"/>
      <c r="J22" s="2871"/>
      <c r="K22" s="2871"/>
    </row>
    <row r="23" spans="1:11" s="228" customFormat="1" ht="12.75" customHeight="1">
      <c r="A23" s="605" t="s">
        <v>3256</v>
      </c>
      <c r="B23" s="603" t="s">
        <v>640</v>
      </c>
      <c r="C23" s="604">
        <v>800</v>
      </c>
      <c r="D23" s="1297">
        <f>ROUND(1.48*Belarus*(1-B71),2)</f>
        <v>1.48</v>
      </c>
      <c r="E23" s="2872"/>
      <c r="G23" s="1409" t="s">
        <v>770</v>
      </c>
      <c r="H23" s="1410"/>
      <c r="I23" s="1411"/>
      <c r="J23" s="101" t="s">
        <v>3227</v>
      </c>
      <c r="K23" s="87">
        <f>ROUND(4880*Belarus*(1-B82),2)</f>
        <v>4880</v>
      </c>
    </row>
    <row r="24" spans="1:11" s="228" customFormat="1">
      <c r="A24" s="2870" t="s">
        <v>2529</v>
      </c>
      <c r="B24" s="2870"/>
      <c r="C24" s="2870"/>
      <c r="D24" s="2870"/>
      <c r="E24" s="2870"/>
      <c r="G24" s="2871" t="s">
        <v>3257</v>
      </c>
      <c r="H24" s="2871"/>
      <c r="I24" s="2871"/>
      <c r="J24" s="2871"/>
      <c r="K24" s="2871"/>
    </row>
    <row r="25" spans="1:11" s="228" customFormat="1">
      <c r="A25" s="602" t="s">
        <v>3258</v>
      </c>
      <c r="B25" s="603" t="s">
        <v>640</v>
      </c>
      <c r="C25" s="604">
        <v>1000</v>
      </c>
      <c r="D25" s="1297">
        <f>ROUND(1.75*Belarus*(1-B71),2)</f>
        <v>1.75</v>
      </c>
      <c r="E25" s="1297"/>
      <c r="G25" s="1351" t="s">
        <v>774</v>
      </c>
      <c r="H25" s="1351"/>
      <c r="I25" s="1351"/>
      <c r="J25" s="606" t="s">
        <v>640</v>
      </c>
      <c r="K25" s="258">
        <f>ROUND(15*Belarus*(1-B83),2)</f>
        <v>15</v>
      </c>
    </row>
    <row r="26" spans="1:11" s="228" customFormat="1">
      <c r="A26" s="605" t="s">
        <v>3259</v>
      </c>
      <c r="B26" s="603" t="s">
        <v>640</v>
      </c>
      <c r="C26" s="604">
        <v>1000</v>
      </c>
      <c r="D26" s="1297">
        <f>ROUND(1.8*Belarus*(1-B71),2)</f>
        <v>1.8</v>
      </c>
      <c r="E26" s="1297"/>
      <c r="G26" s="1351" t="s">
        <v>776</v>
      </c>
      <c r="H26" s="1351"/>
      <c r="I26" s="1351"/>
      <c r="J26" s="607" t="s">
        <v>640</v>
      </c>
      <c r="K26" s="256">
        <f>ROUND(29*Belarus*(1-B83),2)</f>
        <v>29</v>
      </c>
    </row>
    <row r="27" spans="1:11" s="228" customFormat="1">
      <c r="A27" s="605" t="s">
        <v>3260</v>
      </c>
      <c r="B27" s="603" t="s">
        <v>640</v>
      </c>
      <c r="C27" s="604">
        <v>500</v>
      </c>
      <c r="D27" s="1297">
        <f>ROUND(2.09*Belarus*(1-B71),2)</f>
        <v>2.09</v>
      </c>
      <c r="E27" s="1297"/>
      <c r="G27" s="2871" t="s">
        <v>3261</v>
      </c>
      <c r="H27" s="2871"/>
      <c r="I27" s="2871"/>
      <c r="J27" s="2871"/>
      <c r="K27" s="2871"/>
    </row>
    <row r="28" spans="1:11" s="228" customFormat="1">
      <c r="A28" s="602" t="s">
        <v>3262</v>
      </c>
      <c r="B28" s="603" t="s">
        <v>640</v>
      </c>
      <c r="C28" s="604">
        <v>1000</v>
      </c>
      <c r="D28" s="1297">
        <f>ROUND(1.35*Belarus*(1-B71),2)</f>
        <v>1.35</v>
      </c>
      <c r="E28" s="2872"/>
      <c r="G28" s="1365" t="s">
        <v>3263</v>
      </c>
      <c r="H28" s="1366"/>
      <c r="I28" s="1367"/>
      <c r="J28" s="606" t="s">
        <v>3227</v>
      </c>
      <c r="K28" s="258">
        <f>ROUND(2200*Belarus*(1-B84),2)</f>
        <v>2200</v>
      </c>
    </row>
    <row r="29" spans="1:11" s="228" customFormat="1">
      <c r="A29" s="608" t="s">
        <v>3264</v>
      </c>
      <c r="B29" s="609" t="s">
        <v>640</v>
      </c>
      <c r="C29" s="610">
        <v>1000</v>
      </c>
      <c r="D29" s="2015">
        <f>ROUND(1.53*Belarus*(1-B71),2)</f>
        <v>1.53</v>
      </c>
      <c r="E29" s="2873"/>
      <c r="G29" s="1365" t="s">
        <v>3265</v>
      </c>
      <c r="H29" s="1366"/>
      <c r="I29" s="1367"/>
      <c r="J29" s="606" t="s">
        <v>3227</v>
      </c>
      <c r="K29" s="258">
        <f>ROUND(1200*Belarus*(1-B84),2)</f>
        <v>1200</v>
      </c>
    </row>
    <row r="30" spans="1:11" s="228" customFormat="1">
      <c r="A30" s="226" t="s">
        <v>3266</v>
      </c>
      <c r="B30" s="563" t="s">
        <v>640</v>
      </c>
      <c r="C30" s="132">
        <v>800</v>
      </c>
      <c r="D30" s="1297">
        <f>ROUND(1.74*Belarus*(1-B71),2)</f>
        <v>1.74</v>
      </c>
      <c r="E30" s="2872"/>
      <c r="G30" s="1365" t="s">
        <v>3267</v>
      </c>
      <c r="H30" s="1366"/>
      <c r="I30" s="1367"/>
      <c r="J30" s="606" t="s">
        <v>3227</v>
      </c>
      <c r="K30" s="258">
        <f>ROUND(2200*Belarus*(1-B84),2)</f>
        <v>2200</v>
      </c>
    </row>
    <row r="31" spans="1:11" s="228" customFormat="1" ht="18" customHeight="1">
      <c r="A31" s="1418" t="s">
        <v>3268</v>
      </c>
      <c r="B31" s="2180"/>
      <c r="C31" s="2180"/>
      <c r="D31" s="2180"/>
      <c r="E31" s="2181"/>
      <c r="G31" s="1351" t="s">
        <v>3269</v>
      </c>
      <c r="H31" s="1351"/>
      <c r="I31" s="1351"/>
      <c r="J31" s="1765" t="s">
        <v>3227</v>
      </c>
      <c r="K31" s="87">
        <f>ROUND(400*Belarus*(1-B84),2)</f>
        <v>400</v>
      </c>
    </row>
    <row r="32" spans="1:11" s="228" customFormat="1" ht="18" customHeight="1">
      <c r="A32" s="2182"/>
      <c r="B32" s="2183"/>
      <c r="C32" s="2183"/>
      <c r="D32" s="2183"/>
      <c r="E32" s="2184"/>
      <c r="G32" s="1351" t="s">
        <v>6676</v>
      </c>
      <c r="H32" s="1351"/>
      <c r="I32" s="1351"/>
      <c r="J32" s="1456"/>
      <c r="K32" s="87">
        <f>ROUND(3200*Belarus*(1-B84),2)</f>
        <v>3200</v>
      </c>
    </row>
    <row r="33" spans="1:11" s="228" customFormat="1" ht="12.75" customHeight="1">
      <c r="A33" s="2870" t="s">
        <v>2867</v>
      </c>
      <c r="B33" s="2870"/>
      <c r="C33" s="2870"/>
      <c r="D33" s="2870"/>
      <c r="E33" s="2870"/>
      <c r="G33" s="2870" t="s">
        <v>3270</v>
      </c>
      <c r="H33" s="2870"/>
      <c r="I33" s="2870"/>
      <c r="J33" s="2870"/>
      <c r="K33" s="2870"/>
    </row>
    <row r="34" spans="1:11" s="228" customFormat="1" ht="12.75" customHeight="1">
      <c r="A34" s="2874" t="s">
        <v>3271</v>
      </c>
      <c r="B34" s="2875"/>
      <c r="C34" s="373" t="s">
        <v>640</v>
      </c>
      <c r="D34" s="1297">
        <f>ROUND(1.25*Belarus*(1-B71),2)</f>
        <v>1.25</v>
      </c>
      <c r="E34" s="1297"/>
      <c r="G34" s="2876" t="s">
        <v>2547</v>
      </c>
      <c r="H34" s="1765" t="s">
        <v>3272</v>
      </c>
      <c r="I34" s="1765" t="s">
        <v>2548</v>
      </c>
      <c r="J34" s="1765" t="s">
        <v>640</v>
      </c>
      <c r="K34" s="1782">
        <f>ROUND(3750*Belarus*(1-B85),2)</f>
        <v>3750</v>
      </c>
    </row>
    <row r="35" spans="1:11" s="228" customFormat="1" ht="12.75" customHeight="1">
      <c r="A35" s="2874" t="s">
        <v>3782</v>
      </c>
      <c r="B35" s="2875"/>
      <c r="C35" s="373" t="s">
        <v>640</v>
      </c>
      <c r="D35" s="1297">
        <f>ROUND(1.82*Belarus*(1-B71),2)</f>
        <v>1.82</v>
      </c>
      <c r="E35" s="1297"/>
      <c r="G35" s="2877"/>
      <c r="H35" s="1455"/>
      <c r="I35" s="1455"/>
      <c r="J35" s="1455"/>
      <c r="K35" s="2879"/>
    </row>
    <row r="36" spans="1:11" s="228" customFormat="1" ht="12.75" customHeight="1">
      <c r="A36" s="611" t="s">
        <v>307</v>
      </c>
      <c r="B36" s="611" t="s">
        <v>1995</v>
      </c>
      <c r="C36" s="611" t="s">
        <v>3228</v>
      </c>
      <c r="D36" s="611" t="s">
        <v>3273</v>
      </c>
      <c r="E36" s="611" t="s">
        <v>3274</v>
      </c>
      <c r="G36" s="2877"/>
      <c r="H36" s="1455"/>
      <c r="I36" s="1455"/>
      <c r="J36" s="1455"/>
      <c r="K36" s="2879"/>
    </row>
    <row r="37" spans="1:11" s="228" customFormat="1" ht="12.75" customHeight="1">
      <c r="A37" s="2870" t="s">
        <v>201</v>
      </c>
      <c r="B37" s="2870"/>
      <c r="C37" s="2870"/>
      <c r="D37" s="2870"/>
      <c r="E37" s="2870"/>
      <c r="G37" s="2877"/>
      <c r="H37" s="1455"/>
      <c r="I37" s="1455"/>
      <c r="J37" s="1455"/>
      <c r="K37" s="2879"/>
    </row>
    <row r="38" spans="1:11" s="228" customFormat="1">
      <c r="A38" s="612" t="s">
        <v>3275</v>
      </c>
      <c r="B38" s="613" t="s">
        <v>3276</v>
      </c>
      <c r="C38" s="614" t="s">
        <v>640</v>
      </c>
      <c r="D38" s="219">
        <f>E38</f>
        <v>88</v>
      </c>
      <c r="E38" s="615">
        <f>ROUND(88*Belarus*(1-B72),2)</f>
        <v>88</v>
      </c>
      <c r="G38" s="2878"/>
      <c r="H38" s="1455"/>
      <c r="I38" s="1456"/>
      <c r="J38" s="1456"/>
      <c r="K38" s="1783"/>
    </row>
    <row r="39" spans="1:11" s="228" customFormat="1">
      <c r="A39" s="598" t="s">
        <v>3277</v>
      </c>
      <c r="B39" s="616">
        <v>1125</v>
      </c>
      <c r="C39" s="614" t="s">
        <v>640</v>
      </c>
      <c r="D39" s="219">
        <f>E39/1.125</f>
        <v>85.333333333333329</v>
      </c>
      <c r="E39" s="617">
        <f>ROUND(96*Belarus*(1-B72),2)</f>
        <v>96</v>
      </c>
      <c r="G39" s="2876" t="s">
        <v>2551</v>
      </c>
      <c r="H39" s="1455"/>
      <c r="I39" s="1765" t="s">
        <v>2552</v>
      </c>
      <c r="J39" s="1765" t="s">
        <v>640</v>
      </c>
      <c r="K39" s="1782">
        <f>ROUND(4125*Belarus*(1-B85),2)</f>
        <v>4125</v>
      </c>
    </row>
    <row r="40" spans="1:11" s="228" customFormat="1">
      <c r="A40" s="599" t="s">
        <v>3278</v>
      </c>
      <c r="B40" s="616" t="s">
        <v>3279</v>
      </c>
      <c r="C40" s="614" t="s">
        <v>640</v>
      </c>
      <c r="D40" s="219">
        <f>E40/2</f>
        <v>110</v>
      </c>
      <c r="E40" s="617">
        <f>ROUND(220*Belarus*(1-B72),2)</f>
        <v>220</v>
      </c>
      <c r="G40" s="2877"/>
      <c r="H40" s="1455"/>
      <c r="I40" s="1455"/>
      <c r="J40" s="1455"/>
      <c r="K40" s="2879"/>
    </row>
    <row r="41" spans="1:11" s="228" customFormat="1">
      <c r="A41" s="618" t="s">
        <v>3280</v>
      </c>
      <c r="B41" s="616" t="s">
        <v>3281</v>
      </c>
      <c r="C41" s="614" t="s">
        <v>640</v>
      </c>
      <c r="D41" s="219">
        <f>E41/2</f>
        <v>130</v>
      </c>
      <c r="E41" s="617">
        <f>ROUND(260*Belarus*(1-B72),2)</f>
        <v>260</v>
      </c>
      <c r="G41" s="2877"/>
      <c r="H41" s="1455"/>
      <c r="I41" s="1455"/>
      <c r="J41" s="1455"/>
      <c r="K41" s="2879"/>
    </row>
    <row r="42" spans="1:11" s="228" customFormat="1">
      <c r="A42" s="599" t="s">
        <v>3282</v>
      </c>
      <c r="B42" s="373" t="s">
        <v>3283</v>
      </c>
      <c r="C42" s="614" t="s">
        <v>640</v>
      </c>
      <c r="D42" s="219">
        <f>E42/2</f>
        <v>92.5</v>
      </c>
      <c r="E42" s="617">
        <f>ROUND(185*Belarus*(1-B72),2)</f>
        <v>185</v>
      </c>
      <c r="G42" s="2877"/>
      <c r="H42" s="1455"/>
      <c r="I42" s="1455"/>
      <c r="J42" s="1455"/>
      <c r="K42" s="2879"/>
    </row>
    <row r="43" spans="1:11" s="228" customFormat="1">
      <c r="A43" s="599" t="s">
        <v>3284</v>
      </c>
      <c r="B43" s="373" t="s">
        <v>3285</v>
      </c>
      <c r="C43" s="614" t="s">
        <v>640</v>
      </c>
      <c r="D43" s="219">
        <f>E43/2</f>
        <v>118</v>
      </c>
      <c r="E43" s="617">
        <f>ROUND(236*Belarus*(1-B72),2)</f>
        <v>236</v>
      </c>
      <c r="G43" s="2877"/>
      <c r="H43" s="1455"/>
      <c r="I43" s="1455"/>
      <c r="J43" s="1455"/>
      <c r="K43" s="2879"/>
    </row>
    <row r="44" spans="1:11" s="228" customFormat="1">
      <c r="A44" s="599" t="s">
        <v>3286</v>
      </c>
      <c r="B44" s="616" t="s">
        <v>3281</v>
      </c>
      <c r="C44" s="614" t="s">
        <v>640</v>
      </c>
      <c r="D44" s="219">
        <f>E44/2</f>
        <v>135</v>
      </c>
      <c r="E44" s="617">
        <f>ROUND(270*Belarus*(1-B72),2)</f>
        <v>270</v>
      </c>
      <c r="G44" s="2878"/>
      <c r="H44" s="1456"/>
      <c r="I44" s="1456"/>
      <c r="J44" s="1456"/>
      <c r="K44" s="1783"/>
    </row>
    <row r="45" spans="1:11" s="228" customFormat="1" ht="12.75" customHeight="1">
      <c r="A45" s="2870" t="s">
        <v>3287</v>
      </c>
      <c r="B45" s="2870"/>
      <c r="C45" s="2870"/>
      <c r="D45" s="2870"/>
      <c r="E45" s="2870"/>
      <c r="H45" s="619"/>
      <c r="I45" s="619"/>
      <c r="J45" s="619"/>
      <c r="K45" s="619"/>
    </row>
    <row r="46" spans="1:11" s="228" customFormat="1">
      <c r="A46" s="598" t="s">
        <v>3288</v>
      </c>
      <c r="B46" s="373" t="s">
        <v>3289</v>
      </c>
      <c r="C46" s="614" t="s">
        <v>640</v>
      </c>
      <c r="D46" s="219">
        <f>E46/1.1</f>
        <v>45.454545454545453</v>
      </c>
      <c r="E46" s="617">
        <f>ROUND(50*Belarus*(1-B72),2)</f>
        <v>50</v>
      </c>
      <c r="G46" s="2880" t="s">
        <v>3290</v>
      </c>
      <c r="H46" s="2880"/>
      <c r="I46" s="2880"/>
      <c r="J46" s="2880"/>
      <c r="K46" s="2880"/>
    </row>
    <row r="47" spans="1:11" s="228" customFormat="1">
      <c r="A47" s="599" t="s">
        <v>3291</v>
      </c>
      <c r="B47" s="373" t="s">
        <v>3276</v>
      </c>
      <c r="C47" s="614" t="s">
        <v>640</v>
      </c>
      <c r="D47" s="219">
        <f>E47</f>
        <v>60</v>
      </c>
      <c r="E47" s="617">
        <f>ROUND(60*Belarus*(1-B72),2)</f>
        <v>60</v>
      </c>
      <c r="G47" s="1388" t="s">
        <v>725</v>
      </c>
      <c r="H47" s="1495" t="s">
        <v>3292</v>
      </c>
      <c r="I47" s="1388" t="s">
        <v>3293</v>
      </c>
      <c r="J47" s="1388"/>
      <c r="K47" s="1388"/>
    </row>
    <row r="48" spans="1:11" s="228" customFormat="1">
      <c r="A48" s="599" t="s">
        <v>3294</v>
      </c>
      <c r="B48" s="373" t="s">
        <v>3295</v>
      </c>
      <c r="C48" s="614" t="s">
        <v>640</v>
      </c>
      <c r="D48" s="219">
        <f>E48</f>
        <v>80</v>
      </c>
      <c r="E48" s="617">
        <f>ROUND(80*Belarus*(1-B72),2)</f>
        <v>80</v>
      </c>
      <c r="G48" s="1388"/>
      <c r="H48" s="1496"/>
      <c r="I48" s="1388"/>
      <c r="J48" s="1388"/>
      <c r="K48" s="1388"/>
    </row>
    <row r="49" spans="1:11" s="228" customFormat="1" ht="12.75" customHeight="1">
      <c r="A49" s="598" t="s">
        <v>3296</v>
      </c>
      <c r="B49" s="373" t="s">
        <v>3297</v>
      </c>
      <c r="C49" s="614" t="s">
        <v>640</v>
      </c>
      <c r="D49" s="219">
        <f>E49/0.845</f>
        <v>112.42603550295858</v>
      </c>
      <c r="E49" s="617">
        <f>ROUND(95*Belarus*(1-B72),2)</f>
        <v>95</v>
      </c>
      <c r="G49" s="620" t="s">
        <v>727</v>
      </c>
      <c r="H49" s="43" t="s">
        <v>731</v>
      </c>
      <c r="I49" s="1281" t="s">
        <v>728</v>
      </c>
      <c r="J49" s="1281"/>
      <c r="K49" s="1281"/>
    </row>
    <row r="50" spans="1:11" s="228" customFormat="1">
      <c r="A50" s="598" t="s">
        <v>3298</v>
      </c>
      <c r="B50" s="373" t="s">
        <v>3299</v>
      </c>
      <c r="C50" s="614" t="s">
        <v>640</v>
      </c>
      <c r="D50" s="219">
        <f>E50/0.75</f>
        <v>134.66666666666666</v>
      </c>
      <c r="E50" s="617">
        <f>ROUND(101*Belarus*(1-B72),2)</f>
        <v>101</v>
      </c>
      <c r="G50" s="620" t="s">
        <v>734</v>
      </c>
      <c r="H50" s="43" t="s">
        <v>733</v>
      </c>
      <c r="I50" s="1281" t="s">
        <v>735</v>
      </c>
      <c r="J50" s="1281"/>
      <c r="K50" s="1281"/>
    </row>
    <row r="51" spans="1:11" s="228" customFormat="1">
      <c r="A51" s="2870" t="s">
        <v>3300</v>
      </c>
      <c r="B51" s="2870"/>
      <c r="C51" s="2870"/>
      <c r="D51" s="2870"/>
      <c r="E51" s="2870"/>
      <c r="G51" s="620" t="s">
        <v>740</v>
      </c>
      <c r="H51" s="43">
        <v>1015</v>
      </c>
      <c r="I51" s="1281" t="s">
        <v>741</v>
      </c>
      <c r="J51" s="1281"/>
      <c r="K51" s="1281"/>
    </row>
    <row r="52" spans="1:11" s="228" customFormat="1">
      <c r="A52" s="599" t="s">
        <v>3301</v>
      </c>
      <c r="B52" s="616" t="s">
        <v>3302</v>
      </c>
      <c r="C52" s="614" t="s">
        <v>640</v>
      </c>
      <c r="D52" s="219">
        <f>E52/5.6</f>
        <v>60.892857142857146</v>
      </c>
      <c r="E52" s="617">
        <f>ROUND(341*Belarus*(1-B72),2)</f>
        <v>341</v>
      </c>
      <c r="G52" s="620" t="s">
        <v>743</v>
      </c>
      <c r="H52" s="43">
        <v>8017</v>
      </c>
      <c r="I52" s="1281" t="s">
        <v>744</v>
      </c>
      <c r="J52" s="1281"/>
      <c r="K52" s="1281"/>
    </row>
    <row r="53" spans="1:11" s="228" customFormat="1">
      <c r="A53" s="599" t="s">
        <v>3303</v>
      </c>
      <c r="B53" s="616" t="s">
        <v>3304</v>
      </c>
      <c r="C53" s="614" t="s">
        <v>640</v>
      </c>
      <c r="D53" s="219">
        <f>E53/4</f>
        <v>80</v>
      </c>
      <c r="E53" s="617">
        <f>ROUND(320*Belarus*(1-B72),2)</f>
        <v>320</v>
      </c>
      <c r="G53" s="620" t="s">
        <v>746</v>
      </c>
      <c r="H53" s="43" t="s">
        <v>748</v>
      </c>
      <c r="I53" s="1281" t="s">
        <v>747</v>
      </c>
      <c r="J53" s="1281"/>
      <c r="K53" s="1281"/>
    </row>
    <row r="54" spans="1:11" s="228" customFormat="1">
      <c r="A54" s="599" t="s">
        <v>3305</v>
      </c>
      <c r="B54" s="616" t="s">
        <v>3306</v>
      </c>
      <c r="C54" s="614" t="s">
        <v>640</v>
      </c>
      <c r="D54" s="219">
        <f>E54/4</f>
        <v>105</v>
      </c>
      <c r="E54" s="617">
        <f>ROUND(420*Belarus*(1-B72),2)</f>
        <v>420</v>
      </c>
      <c r="G54" s="620" t="s">
        <v>749</v>
      </c>
      <c r="H54" s="43">
        <v>8004</v>
      </c>
      <c r="I54" s="1281" t="s">
        <v>730</v>
      </c>
      <c r="J54" s="1281"/>
      <c r="K54" s="1281"/>
    </row>
    <row r="55" spans="1:11" s="228" customFormat="1">
      <c r="A55" s="599" t="s">
        <v>3307</v>
      </c>
      <c r="B55" s="616" t="s">
        <v>3308</v>
      </c>
      <c r="C55" s="614" t="s">
        <v>640</v>
      </c>
      <c r="D55" s="219">
        <f>E55/8</f>
        <v>24.375</v>
      </c>
      <c r="E55" s="617">
        <f>ROUND(195*Belarus*(1-B72),2)</f>
        <v>195</v>
      </c>
      <c r="G55" s="620" t="s">
        <v>751</v>
      </c>
      <c r="H55" s="43">
        <v>8004</v>
      </c>
      <c r="I55" s="1281" t="s">
        <v>744</v>
      </c>
      <c r="J55" s="1281"/>
      <c r="K55" s="1281"/>
    </row>
    <row r="56" spans="1:11" s="228" customFormat="1">
      <c r="A56" s="599" t="s">
        <v>3309</v>
      </c>
      <c r="B56" s="616" t="s">
        <v>3310</v>
      </c>
      <c r="C56" s="614" t="s">
        <v>640</v>
      </c>
      <c r="D56" s="219">
        <f>E56</f>
        <v>48</v>
      </c>
      <c r="E56" s="617">
        <f>ROUND(48*Belarus*(1-B72),2)</f>
        <v>48</v>
      </c>
      <c r="G56" s="620" t="s">
        <v>750</v>
      </c>
      <c r="H56" s="43">
        <v>8017</v>
      </c>
      <c r="I56" s="1281" t="s">
        <v>369</v>
      </c>
      <c r="J56" s="1281"/>
      <c r="K56" s="1281"/>
    </row>
    <row r="57" spans="1:11">
      <c r="A57" s="2870" t="s">
        <v>3315</v>
      </c>
      <c r="B57" s="2870"/>
      <c r="C57" s="2870"/>
      <c r="D57" s="2870"/>
      <c r="E57" s="2870"/>
      <c r="G57" s="620" t="s">
        <v>729</v>
      </c>
      <c r="H57" s="43" t="s">
        <v>731</v>
      </c>
      <c r="I57" s="1281" t="s">
        <v>730</v>
      </c>
      <c r="J57" s="1281"/>
      <c r="K57" s="1281"/>
    </row>
    <row r="58" spans="1:11">
      <c r="A58" s="599" t="s">
        <v>3651</v>
      </c>
      <c r="B58" s="616" t="s">
        <v>3652</v>
      </c>
      <c r="C58" s="614" t="s">
        <v>640</v>
      </c>
      <c r="D58" s="219">
        <f>E58/48</f>
        <v>8.9583333333333339</v>
      </c>
      <c r="E58" s="617">
        <f>ROUND(430*Belarus*(1-B73),2)</f>
        <v>430</v>
      </c>
      <c r="F58" s="1"/>
      <c r="G58" s="620" t="s">
        <v>736</v>
      </c>
      <c r="H58" s="43">
        <v>8017</v>
      </c>
      <c r="I58" s="1281" t="s">
        <v>737</v>
      </c>
      <c r="J58" s="1281"/>
      <c r="K58" s="1281"/>
    </row>
    <row r="59" spans="1:11">
      <c r="A59" s="2870" t="s">
        <v>6633</v>
      </c>
      <c r="B59" s="2870"/>
      <c r="C59" s="2870"/>
      <c r="D59" s="2870"/>
      <c r="E59" s="2870"/>
      <c r="F59" s="1"/>
      <c r="G59" s="620" t="s">
        <v>732</v>
      </c>
      <c r="H59" s="43" t="s">
        <v>733</v>
      </c>
      <c r="I59" s="1281" t="s">
        <v>742</v>
      </c>
      <c r="J59" s="1281"/>
      <c r="K59" s="1281"/>
    </row>
    <row r="60" spans="1:11">
      <c r="A60" s="599" t="s">
        <v>6634</v>
      </c>
      <c r="B60" s="616" t="s">
        <v>6635</v>
      </c>
      <c r="C60" s="614" t="s">
        <v>640</v>
      </c>
      <c r="D60" s="219" t="s">
        <v>369</v>
      </c>
      <c r="E60" s="617">
        <f>ROUND(325*Belarus*(1-B86),2)</f>
        <v>325</v>
      </c>
      <c r="F60" s="1"/>
      <c r="G60" s="288" t="s">
        <v>738</v>
      </c>
      <c r="H60" s="43" t="s">
        <v>739</v>
      </c>
      <c r="I60" s="1281" t="s">
        <v>745</v>
      </c>
      <c r="J60" s="1281"/>
      <c r="K60" s="1281"/>
    </row>
    <row r="61" spans="1:11">
      <c r="F61" s="1"/>
      <c r="G61" s="621" t="s">
        <v>3311</v>
      </c>
      <c r="H61" s="134"/>
      <c r="I61" s="134"/>
      <c r="J61" s="134"/>
      <c r="K61" s="134"/>
    </row>
    <row r="62" spans="1:11">
      <c r="A62" s="434" t="s">
        <v>3783</v>
      </c>
      <c r="B62" s="1"/>
      <c r="C62" s="1"/>
      <c r="D62" s="1"/>
      <c r="E62" s="1"/>
      <c r="F62" s="1"/>
      <c r="G62" s="1"/>
      <c r="H62" s="1"/>
      <c r="I62" s="1"/>
      <c r="J62" s="1"/>
      <c r="K62" s="1"/>
    </row>
    <row r="63" spans="1:11">
      <c r="A63" s="621" t="s">
        <v>3784</v>
      </c>
      <c r="B63" s="1"/>
      <c r="C63" s="1"/>
      <c r="D63" s="1"/>
      <c r="E63" s="1"/>
      <c r="F63" s="1"/>
      <c r="G63" s="1"/>
      <c r="I63" s="622"/>
    </row>
    <row r="64" spans="1:11">
      <c r="A64" s="1"/>
      <c r="B64" s="1"/>
      <c r="C64" s="1"/>
      <c r="D64" s="1"/>
      <c r="E64" s="1"/>
      <c r="F64" s="623"/>
      <c r="G64" s="1"/>
      <c r="H64" s="1"/>
      <c r="I64" s="1"/>
      <c r="J64" s="1"/>
      <c r="K64" s="1"/>
    </row>
    <row r="65" spans="1:11">
      <c r="A65" s="1"/>
      <c r="B65" s="1"/>
      <c r="C65" s="1"/>
      <c r="D65" s="623"/>
      <c r="E65" s="623"/>
      <c r="F65" s="623"/>
      <c r="G65" s="1"/>
      <c r="H65" s="1"/>
      <c r="I65" s="1"/>
      <c r="J65" s="1"/>
      <c r="K65" s="1"/>
    </row>
    <row r="66" spans="1:11">
      <c r="A66" s="1"/>
      <c r="B66" s="1"/>
      <c r="C66" s="1"/>
      <c r="D66" s="623"/>
      <c r="E66" s="623"/>
      <c r="F66" s="623"/>
      <c r="G66" s="1"/>
      <c r="H66" s="1"/>
      <c r="I66" s="1"/>
      <c r="J66" s="1"/>
      <c r="K66" s="1"/>
    </row>
    <row r="67" spans="1:11">
      <c r="A67" s="1"/>
      <c r="B67" s="1"/>
      <c r="C67" s="1"/>
      <c r="D67" s="623"/>
      <c r="E67" s="623"/>
      <c r="F67" s="623"/>
      <c r="G67" s="1"/>
      <c r="H67" s="1"/>
      <c r="I67" s="1"/>
      <c r="J67" s="1"/>
      <c r="K67" s="1"/>
    </row>
    <row r="68" spans="1:11">
      <c r="A68" s="2881" t="s">
        <v>508</v>
      </c>
      <c r="B68" s="2881"/>
      <c r="C68" s="623"/>
      <c r="D68" s="623"/>
      <c r="E68" s="623"/>
      <c r="F68" s="623"/>
      <c r="G68" s="1"/>
      <c r="H68" s="1"/>
      <c r="I68" s="1"/>
      <c r="J68" s="1"/>
      <c r="K68" s="1"/>
    </row>
    <row r="69" spans="1:11">
      <c r="A69" s="624" t="s">
        <v>3312</v>
      </c>
      <c r="B69" s="591">
        <v>0</v>
      </c>
      <c r="C69" s="623"/>
      <c r="D69" s="623"/>
      <c r="E69" s="623"/>
      <c r="F69" s="623"/>
      <c r="G69" s="1"/>
      <c r="H69" s="1"/>
      <c r="I69" s="1"/>
      <c r="J69" s="1"/>
      <c r="K69" s="1"/>
    </row>
    <row r="70" spans="1:11" ht="25.5" customHeight="1">
      <c r="A70" s="624" t="s">
        <v>3313</v>
      </c>
      <c r="B70" s="591">
        <v>0</v>
      </c>
      <c r="C70" s="623"/>
      <c r="D70" s="623"/>
      <c r="E70" s="623"/>
      <c r="F70" s="623"/>
      <c r="G70" s="1"/>
      <c r="H70" s="1"/>
      <c r="I70" s="1"/>
      <c r="J70" s="1"/>
      <c r="K70" s="1"/>
    </row>
    <row r="71" spans="1:11" ht="38.25">
      <c r="A71" s="625" t="s">
        <v>3314</v>
      </c>
      <c r="B71" s="591">
        <v>0</v>
      </c>
      <c r="C71" s="623"/>
      <c r="D71" s="623"/>
      <c r="E71" s="623"/>
      <c r="F71" s="623"/>
      <c r="G71" s="1"/>
      <c r="H71" s="1"/>
      <c r="I71" s="1"/>
      <c r="J71" s="1"/>
      <c r="K71" s="1"/>
    </row>
    <row r="72" spans="1:11">
      <c r="A72" s="624" t="s">
        <v>201</v>
      </c>
      <c r="B72" s="590">
        <v>0</v>
      </c>
      <c r="C72" s="623"/>
      <c r="D72" s="623"/>
      <c r="E72" s="623"/>
      <c r="F72" s="623"/>
      <c r="G72" s="1"/>
      <c r="H72" s="1"/>
      <c r="I72" s="1"/>
      <c r="J72" s="1"/>
      <c r="K72" s="1"/>
    </row>
    <row r="73" spans="1:11">
      <c r="A73" s="624" t="s">
        <v>3315</v>
      </c>
      <c r="B73" s="590">
        <v>0</v>
      </c>
      <c r="C73" s="623"/>
      <c r="D73" s="623"/>
      <c r="E73" s="623"/>
      <c r="F73" s="623"/>
      <c r="G73" s="1"/>
      <c r="H73" s="1"/>
      <c r="I73" s="1"/>
      <c r="J73" s="1"/>
      <c r="K73" s="1"/>
    </row>
    <row r="74" spans="1:11">
      <c r="A74" s="544" t="s">
        <v>3234</v>
      </c>
      <c r="B74" s="591">
        <v>0</v>
      </c>
      <c r="C74" s="623"/>
      <c r="D74" s="623"/>
      <c r="E74" s="623"/>
      <c r="F74" s="623"/>
      <c r="G74" s="1"/>
      <c r="H74" s="1"/>
      <c r="I74" s="1"/>
      <c r="J74" s="1"/>
      <c r="K74" s="1"/>
    </row>
    <row r="75" spans="1:11">
      <c r="A75" s="624" t="s">
        <v>3316</v>
      </c>
      <c r="B75" s="590">
        <v>0</v>
      </c>
      <c r="C75" s="623"/>
      <c r="D75" s="623"/>
      <c r="E75" s="623"/>
      <c r="F75" s="623"/>
      <c r="G75" s="1"/>
      <c r="H75" s="1"/>
      <c r="I75" s="1"/>
      <c r="J75" s="1"/>
      <c r="K75" s="1"/>
    </row>
    <row r="76" spans="1:11">
      <c r="A76" s="544" t="s">
        <v>30</v>
      </c>
      <c r="B76" s="590">
        <v>0</v>
      </c>
      <c r="C76" s="623"/>
      <c r="D76" s="623"/>
      <c r="E76" s="623"/>
      <c r="G76" s="1"/>
      <c r="H76" s="1"/>
      <c r="I76" s="1"/>
      <c r="J76" s="1"/>
      <c r="K76" s="1"/>
    </row>
    <row r="77" spans="1:11">
      <c r="A77" s="544" t="s">
        <v>3317</v>
      </c>
      <c r="B77" s="591">
        <v>0</v>
      </c>
      <c r="C77" s="623"/>
      <c r="G77" s="1"/>
      <c r="H77" s="1"/>
      <c r="I77" s="1"/>
      <c r="J77" s="1"/>
      <c r="K77" s="1"/>
    </row>
    <row r="78" spans="1:11">
      <c r="A78" s="544" t="s">
        <v>3318</v>
      </c>
      <c r="B78" s="591">
        <v>0</v>
      </c>
      <c r="C78" s="623"/>
      <c r="G78" s="1"/>
      <c r="H78" s="1"/>
      <c r="I78" s="1"/>
      <c r="J78" s="1"/>
      <c r="K78" s="1"/>
    </row>
    <row r="79" spans="1:11" ht="12.75" customHeight="1">
      <c r="A79" s="624" t="s">
        <v>3319</v>
      </c>
      <c r="B79" s="590">
        <v>0</v>
      </c>
      <c r="C79" s="623"/>
      <c r="G79" s="1"/>
      <c r="H79" s="1"/>
      <c r="I79" s="1"/>
      <c r="J79" s="1"/>
      <c r="K79" s="1"/>
    </row>
    <row r="80" spans="1:11">
      <c r="A80" s="544" t="s">
        <v>3320</v>
      </c>
      <c r="B80" s="590">
        <v>0</v>
      </c>
      <c r="G80" s="1"/>
      <c r="H80" s="1"/>
      <c r="I80" s="1"/>
      <c r="J80" s="1"/>
      <c r="K80" s="1"/>
    </row>
    <row r="81" spans="1:11">
      <c r="A81" s="544" t="s">
        <v>3321</v>
      </c>
      <c r="B81" s="590">
        <v>0</v>
      </c>
      <c r="G81" s="1"/>
      <c r="H81" s="1"/>
      <c r="I81" s="1"/>
      <c r="J81" s="1"/>
      <c r="K81" s="1"/>
    </row>
    <row r="82" spans="1:11">
      <c r="A82" s="544" t="s">
        <v>3229</v>
      </c>
      <c r="B82" s="590">
        <v>0</v>
      </c>
      <c r="G82" s="1"/>
      <c r="H82" s="1"/>
      <c r="I82" s="1"/>
      <c r="J82" s="1"/>
      <c r="K82" s="1"/>
    </row>
    <row r="83" spans="1:11">
      <c r="A83" s="624" t="s">
        <v>3257</v>
      </c>
      <c r="B83" s="591">
        <v>0</v>
      </c>
      <c r="G83" s="1"/>
      <c r="H83" s="1"/>
      <c r="I83" s="1"/>
      <c r="J83" s="1"/>
      <c r="K83" s="1"/>
    </row>
    <row r="84" spans="1:11">
      <c r="A84" s="624" t="s">
        <v>3261</v>
      </c>
      <c r="B84" s="590">
        <v>0</v>
      </c>
      <c r="G84" s="1"/>
      <c r="H84" s="1"/>
      <c r="I84" s="1"/>
      <c r="J84" s="1"/>
      <c r="K84" s="1"/>
    </row>
    <row r="85" spans="1:11">
      <c r="A85" s="544" t="s">
        <v>2545</v>
      </c>
      <c r="B85" s="590">
        <v>0</v>
      </c>
      <c r="G85" s="1"/>
      <c r="H85" s="1"/>
      <c r="I85" s="1"/>
      <c r="J85" s="1"/>
      <c r="K85" s="1"/>
    </row>
    <row r="86" spans="1:11">
      <c r="A86" s="599" t="s">
        <v>6636</v>
      </c>
      <c r="B86" s="590">
        <v>0</v>
      </c>
    </row>
  </sheetData>
  <mergeCells count="100">
    <mergeCell ref="I54:K54"/>
    <mergeCell ref="I60:K60"/>
    <mergeCell ref="A68:B68"/>
    <mergeCell ref="I55:K55"/>
    <mergeCell ref="I56:K56"/>
    <mergeCell ref="A57:E57"/>
    <mergeCell ref="I57:K57"/>
    <mergeCell ref="I58:K58"/>
    <mergeCell ref="A59:E59"/>
    <mergeCell ref="I59:K59"/>
    <mergeCell ref="I49:K49"/>
    <mergeCell ref="I50:K50"/>
    <mergeCell ref="A51:E51"/>
    <mergeCell ref="I51:K51"/>
    <mergeCell ref="I52:K52"/>
    <mergeCell ref="I53:K53"/>
    <mergeCell ref="K39:K44"/>
    <mergeCell ref="A45:E45"/>
    <mergeCell ref="G46:K46"/>
    <mergeCell ref="G47:G48"/>
    <mergeCell ref="H47:H48"/>
    <mergeCell ref="I47:K48"/>
    <mergeCell ref="A35:B35"/>
    <mergeCell ref="D35:E35"/>
    <mergeCell ref="A37:E37"/>
    <mergeCell ref="G39:G44"/>
    <mergeCell ref="I39:I44"/>
    <mergeCell ref="J39:J44"/>
    <mergeCell ref="J31:J32"/>
    <mergeCell ref="A33:E33"/>
    <mergeCell ref="G33:K33"/>
    <mergeCell ref="A34:B34"/>
    <mergeCell ref="D34:E34"/>
    <mergeCell ref="G34:G38"/>
    <mergeCell ref="H34:H44"/>
    <mergeCell ref="I34:I38"/>
    <mergeCell ref="J34:J38"/>
    <mergeCell ref="K34:K38"/>
    <mergeCell ref="D29:E29"/>
    <mergeCell ref="G29:I29"/>
    <mergeCell ref="D30:E30"/>
    <mergeCell ref="G30:I30"/>
    <mergeCell ref="A31:E32"/>
    <mergeCell ref="G31:I31"/>
    <mergeCell ref="G32:I32"/>
    <mergeCell ref="D26:E26"/>
    <mergeCell ref="G26:I26"/>
    <mergeCell ref="D27:E27"/>
    <mergeCell ref="G27:K27"/>
    <mergeCell ref="D28:E28"/>
    <mergeCell ref="G28:I28"/>
    <mergeCell ref="D23:E23"/>
    <mergeCell ref="G23:I23"/>
    <mergeCell ref="A24:E24"/>
    <mergeCell ref="G24:K24"/>
    <mergeCell ref="D25:E25"/>
    <mergeCell ref="G25:I25"/>
    <mergeCell ref="J19:J20"/>
    <mergeCell ref="K19:K20"/>
    <mergeCell ref="D20:E20"/>
    <mergeCell ref="D21:E21"/>
    <mergeCell ref="G21:I21"/>
    <mergeCell ref="D22:E22"/>
    <mergeCell ref="G22:K22"/>
    <mergeCell ref="A17:E17"/>
    <mergeCell ref="G17:I17"/>
    <mergeCell ref="D18:E18"/>
    <mergeCell ref="G18:I18"/>
    <mergeCell ref="D19:E19"/>
    <mergeCell ref="G19:I20"/>
    <mergeCell ref="D14:E14"/>
    <mergeCell ref="G14:K14"/>
    <mergeCell ref="D15:E15"/>
    <mergeCell ref="G15:I15"/>
    <mergeCell ref="D16:E16"/>
    <mergeCell ref="G16:I16"/>
    <mergeCell ref="D11:E11"/>
    <mergeCell ref="G11:K11"/>
    <mergeCell ref="A12:E12"/>
    <mergeCell ref="G12:I12"/>
    <mergeCell ref="D13:E13"/>
    <mergeCell ref="G13:I13"/>
    <mergeCell ref="D8:E8"/>
    <mergeCell ref="G8:I8"/>
    <mergeCell ref="D9:E9"/>
    <mergeCell ref="G9:K9"/>
    <mergeCell ref="D10:E10"/>
    <mergeCell ref="G10:I10"/>
    <mergeCell ref="A5:E5"/>
    <mergeCell ref="G5:K5"/>
    <mergeCell ref="D6:E6"/>
    <mergeCell ref="G6:I6"/>
    <mergeCell ref="D7:E7"/>
    <mergeCell ref="G7:I7"/>
    <mergeCell ref="A1:D1"/>
    <mergeCell ref="A2:G2"/>
    <mergeCell ref="J2:K2"/>
    <mergeCell ref="J3:K3"/>
    <mergeCell ref="D4:E4"/>
    <mergeCell ref="G4:I4"/>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68" orientation="landscape" horizontalDpi="300" verticalDpi="300" r:id="rId1"/>
  <headerFooter scaleWithDoc="0">
    <oddHeader xml:space="preserve">&amp;L&amp;G&amp;R&amp;5Центр поддержки клиентов Grand Line: +7 (495) 748-38-38
cайт: www.grandline.ru   </oddHeader>
    <oddFooter>&amp;R&amp;5Страница 48</oddFooter>
  </headerFooter>
  <drawing r:id="rId2"/>
  <legacyDrawingHF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pageSetUpPr fitToPage="1"/>
  </sheetPr>
  <dimension ref="A1:Q84"/>
  <sheetViews>
    <sheetView zoomScale="70" zoomScaleNormal="70" zoomScaleSheetLayoutView="100" workbookViewId="0">
      <pane xSplit="2" ySplit="6" topLeftCell="C7" activePane="bottomRight" state="frozen"/>
      <selection activeCell="I3" sqref="I3:K3"/>
      <selection pane="topRight" activeCell="I3" sqref="I3:K3"/>
      <selection pane="bottomLeft" activeCell="I3" sqref="I3:K3"/>
      <selection pane="bottomRight" activeCell="A2" sqref="A2:M2"/>
    </sheetView>
  </sheetViews>
  <sheetFormatPr defaultRowHeight="12.75"/>
  <cols>
    <col min="1" max="1" width="15.42578125" style="46" customWidth="1"/>
    <col min="2" max="2" width="35.28515625" style="46" customWidth="1"/>
    <col min="3" max="3" width="8" style="46" customWidth="1"/>
    <col min="4" max="4" width="13" style="46" customWidth="1"/>
    <col min="5" max="5" width="16.85546875" style="46" customWidth="1"/>
    <col min="6" max="6" width="36.7109375" style="46" customWidth="1"/>
    <col min="7" max="7" width="7.28515625" style="46" customWidth="1"/>
    <col min="8" max="8" width="17" style="46" customWidth="1"/>
    <col min="9" max="9" width="6.140625" style="46" customWidth="1"/>
    <col min="10" max="10" width="13.140625" style="46" customWidth="1"/>
    <col min="11" max="11" width="7.7109375" style="46" customWidth="1"/>
    <col min="12" max="12" width="7.42578125" style="46" customWidth="1"/>
    <col min="13" max="13" width="5.28515625" style="46" customWidth="1"/>
    <col min="14" max="17" width="11" style="46" customWidth="1"/>
    <col min="18" max="18" width="9.140625" style="46" customWidth="1"/>
    <col min="19" max="19" width="9.140625" style="46"/>
    <col min="20" max="20" width="9.140625" style="46" customWidth="1"/>
    <col min="21" max="16384" width="9.140625" style="46"/>
  </cols>
  <sheetData>
    <row r="1" spans="1:17">
      <c r="A1" s="1666" t="s">
        <v>312</v>
      </c>
      <c r="B1" s="1666"/>
      <c r="C1" s="1666"/>
      <c r="D1" s="1666"/>
      <c r="E1" s="150"/>
      <c r="F1" s="1"/>
      <c r="G1" s="1"/>
      <c r="H1" s="1"/>
      <c r="I1" s="1"/>
      <c r="J1" s="1"/>
      <c r="K1" s="1"/>
      <c r="M1" s="1"/>
      <c r="N1" s="1"/>
      <c r="O1" s="1"/>
      <c r="P1" s="1"/>
      <c r="Q1" s="1"/>
    </row>
    <row r="2" spans="1:17" ht="18" customHeight="1" thickBot="1">
      <c r="A2" s="1482" t="s">
        <v>3955</v>
      </c>
      <c r="B2" s="1482"/>
      <c r="C2" s="1482"/>
      <c r="D2" s="1482"/>
      <c r="E2" s="1482"/>
      <c r="F2" s="1482"/>
      <c r="G2" s="1482"/>
      <c r="H2" s="1482"/>
      <c r="I2" s="1482"/>
      <c r="J2" s="1482"/>
      <c r="K2" s="1482"/>
      <c r="L2" s="1482"/>
      <c r="M2" s="1482"/>
      <c r="N2" s="732"/>
      <c r="O2" s="732"/>
      <c r="P2" s="734" t="s">
        <v>313</v>
      </c>
      <c r="Q2" s="862">
        <v>43301</v>
      </c>
    </row>
    <row r="3" spans="1:17" ht="12.75" customHeight="1">
      <c r="A3" s="52"/>
      <c r="M3" s="2"/>
      <c r="O3" s="784"/>
      <c r="P3" s="2" t="s">
        <v>804</v>
      </c>
      <c r="Q3" s="863">
        <v>43301</v>
      </c>
    </row>
    <row r="4" spans="1:17" s="189" customFormat="1" ht="31.5" customHeight="1">
      <c r="A4" s="2882" t="s">
        <v>3956</v>
      </c>
      <c r="B4" s="2882" t="s">
        <v>307</v>
      </c>
      <c r="C4" s="2882" t="s">
        <v>3957</v>
      </c>
      <c r="D4" s="2882" t="s">
        <v>3958</v>
      </c>
      <c r="E4" s="2882" t="s">
        <v>3959</v>
      </c>
      <c r="F4" s="2882" t="s">
        <v>3960</v>
      </c>
      <c r="G4" s="2882" t="s">
        <v>3961</v>
      </c>
      <c r="H4" s="626" t="s">
        <v>3962</v>
      </c>
      <c r="I4" s="2882" t="s">
        <v>3963</v>
      </c>
      <c r="J4" s="2882" t="s">
        <v>3964</v>
      </c>
      <c r="K4" s="2882" t="s">
        <v>3965</v>
      </c>
      <c r="L4" s="2882" t="s">
        <v>3966</v>
      </c>
      <c r="M4" s="2883" t="s">
        <v>622</v>
      </c>
      <c r="N4" s="1479" t="s">
        <v>3656</v>
      </c>
      <c r="O4" s="1517"/>
      <c r="P4" s="1517"/>
      <c r="Q4" s="1480"/>
    </row>
    <row r="5" spans="1:17" s="189" customFormat="1" ht="16.5" customHeight="1">
      <c r="A5" s="2882"/>
      <c r="B5" s="2882"/>
      <c r="C5" s="2882"/>
      <c r="D5" s="2882"/>
      <c r="E5" s="2882"/>
      <c r="F5" s="2882"/>
      <c r="G5" s="2882"/>
      <c r="H5" s="1491" t="s">
        <v>3967</v>
      </c>
      <c r="I5" s="2882"/>
      <c r="J5" s="2882"/>
      <c r="K5" s="2882"/>
      <c r="L5" s="2882"/>
      <c r="M5" s="2884"/>
      <c r="N5" s="1495" t="s">
        <v>3546</v>
      </c>
      <c r="O5" s="1495" t="s">
        <v>6677</v>
      </c>
      <c r="P5" s="1495" t="s">
        <v>3606</v>
      </c>
      <c r="Q5" s="1495" t="s">
        <v>3607</v>
      </c>
    </row>
    <row r="6" spans="1:17" s="189" customFormat="1" ht="12.75" customHeight="1">
      <c r="A6" s="2882"/>
      <c r="B6" s="2882"/>
      <c r="C6" s="2882"/>
      <c r="D6" s="2882"/>
      <c r="E6" s="2882"/>
      <c r="F6" s="2882"/>
      <c r="G6" s="2882"/>
      <c r="H6" s="1491"/>
      <c r="I6" s="2882"/>
      <c r="J6" s="2882"/>
      <c r="K6" s="2882"/>
      <c r="L6" s="2882"/>
      <c r="M6" s="2885"/>
      <c r="N6" s="1496"/>
      <c r="O6" s="1496"/>
      <c r="P6" s="1496"/>
      <c r="Q6" s="1496"/>
    </row>
    <row r="7" spans="1:17" s="189" customFormat="1" ht="15.75" customHeight="1">
      <c r="A7" s="2671" t="s">
        <v>3968</v>
      </c>
      <c r="B7" s="2887" t="s">
        <v>3969</v>
      </c>
      <c r="C7" s="2671" t="s">
        <v>3970</v>
      </c>
      <c r="D7" s="2671" t="s">
        <v>3971</v>
      </c>
      <c r="E7" s="2671" t="s">
        <v>3972</v>
      </c>
      <c r="F7" s="2887" t="s">
        <v>3973</v>
      </c>
      <c r="G7" s="2671">
        <v>27</v>
      </c>
      <c r="H7" s="2890" t="s">
        <v>3974</v>
      </c>
      <c r="I7" s="2892">
        <v>8</v>
      </c>
      <c r="J7" s="2890" t="s">
        <v>3975</v>
      </c>
      <c r="K7" s="2894">
        <v>0.24</v>
      </c>
      <c r="L7" s="2890">
        <v>4.8</v>
      </c>
      <c r="M7" s="252" t="s">
        <v>3325</v>
      </c>
      <c r="N7" s="785">
        <f>N8/0.24</f>
        <v>1487.5</v>
      </c>
      <c r="O7" s="771" t="s">
        <v>369</v>
      </c>
      <c r="P7" s="856" t="s">
        <v>369</v>
      </c>
      <c r="Q7" s="856" t="s">
        <v>369</v>
      </c>
    </row>
    <row r="8" spans="1:17" s="189" customFormat="1" ht="15.75" customHeight="1">
      <c r="A8" s="2886"/>
      <c r="B8" s="2888"/>
      <c r="C8" s="2886"/>
      <c r="D8" s="2886"/>
      <c r="E8" s="2886"/>
      <c r="F8" s="2888"/>
      <c r="G8" s="2886"/>
      <c r="H8" s="2891"/>
      <c r="I8" s="2893"/>
      <c r="J8" s="2891"/>
      <c r="K8" s="2895"/>
      <c r="L8" s="2891"/>
      <c r="M8" s="252" t="s">
        <v>1082</v>
      </c>
      <c r="N8" s="786">
        <f>ROUND(357*Belarus*(1-C74),2)</f>
        <v>357</v>
      </c>
      <c r="O8" s="771" t="s">
        <v>369</v>
      </c>
      <c r="P8" s="771" t="s">
        <v>369</v>
      </c>
      <c r="Q8" s="771" t="s">
        <v>369</v>
      </c>
    </row>
    <row r="9" spans="1:17" s="189" customFormat="1" ht="15.75" customHeight="1">
      <c r="A9" s="2886"/>
      <c r="B9" s="2888"/>
      <c r="C9" s="2886"/>
      <c r="D9" s="2886"/>
      <c r="E9" s="2886"/>
      <c r="F9" s="2888"/>
      <c r="G9" s="2886"/>
      <c r="H9" s="2890" t="s">
        <v>3976</v>
      </c>
      <c r="I9" s="2892">
        <v>4</v>
      </c>
      <c r="J9" s="2890" t="s">
        <v>3975</v>
      </c>
      <c r="K9" s="2894">
        <v>0.24</v>
      </c>
      <c r="L9" s="2890">
        <v>2.4</v>
      </c>
      <c r="M9" s="252" t="s">
        <v>3325</v>
      </c>
      <c r="N9" s="785">
        <f>N10/0.24</f>
        <v>1487.5</v>
      </c>
      <c r="O9" s="856" t="s">
        <v>369</v>
      </c>
      <c r="P9" s="856" t="s">
        <v>369</v>
      </c>
      <c r="Q9" s="856" t="s">
        <v>369</v>
      </c>
    </row>
    <row r="10" spans="1:17" s="189" customFormat="1" ht="15.75" customHeight="1">
      <c r="A10" s="2672"/>
      <c r="B10" s="2889"/>
      <c r="C10" s="2672"/>
      <c r="D10" s="2672"/>
      <c r="E10" s="2672"/>
      <c r="F10" s="2889"/>
      <c r="G10" s="2672"/>
      <c r="H10" s="2891"/>
      <c r="I10" s="2893"/>
      <c r="J10" s="2891"/>
      <c r="K10" s="2895"/>
      <c r="L10" s="2891"/>
      <c r="M10" s="252" t="s">
        <v>1082</v>
      </c>
      <c r="N10" s="786">
        <f>ROUND(357*Belarus*(1-C76),2)</f>
        <v>357</v>
      </c>
      <c r="O10" s="771" t="s">
        <v>369</v>
      </c>
      <c r="P10" s="771" t="s">
        <v>369</v>
      </c>
      <c r="Q10" s="771" t="s">
        <v>369</v>
      </c>
    </row>
    <row r="11" spans="1:17" s="189" customFormat="1" ht="15.75" customHeight="1">
      <c r="A11" s="2671" t="s">
        <v>3968</v>
      </c>
      <c r="B11" s="2887" t="s">
        <v>3977</v>
      </c>
      <c r="C11" s="2671" t="s">
        <v>3970</v>
      </c>
      <c r="D11" s="2671" t="s">
        <v>3971</v>
      </c>
      <c r="E11" s="2671" t="s">
        <v>3972</v>
      </c>
      <c r="F11" s="2887" t="s">
        <v>3978</v>
      </c>
      <c r="G11" s="2671">
        <v>35</v>
      </c>
      <c r="H11" s="2890" t="s">
        <v>3979</v>
      </c>
      <c r="I11" s="2892">
        <v>12</v>
      </c>
      <c r="J11" s="2890" t="s">
        <v>3980</v>
      </c>
      <c r="K11" s="2894">
        <v>0.28799999999999998</v>
      </c>
      <c r="L11" s="2890">
        <v>5.76</v>
      </c>
      <c r="M11" s="252" t="s">
        <v>3325</v>
      </c>
      <c r="N11" s="785">
        <f>N12/0.288</f>
        <v>1833.3333333333335</v>
      </c>
      <c r="O11" s="785">
        <f>O12/0.288</f>
        <v>1828.1250000000002</v>
      </c>
      <c r="P11" s="785">
        <f>P12/0.288</f>
        <v>1979.1666666666667</v>
      </c>
      <c r="Q11" s="785">
        <f>Q12/0.288</f>
        <v>1956.9444444444446</v>
      </c>
    </row>
    <row r="12" spans="1:17" s="189" customFormat="1" ht="15.75" customHeight="1">
      <c r="A12" s="2886"/>
      <c r="B12" s="2888"/>
      <c r="C12" s="2886"/>
      <c r="D12" s="2886"/>
      <c r="E12" s="2886"/>
      <c r="F12" s="2888"/>
      <c r="G12" s="2886"/>
      <c r="H12" s="2891"/>
      <c r="I12" s="2893"/>
      <c r="J12" s="2891"/>
      <c r="K12" s="2895"/>
      <c r="L12" s="2891"/>
      <c r="M12" s="252" t="s">
        <v>1082</v>
      </c>
      <c r="N12" s="786">
        <f>ROUND(528*Belarus*(1-C80),2)</f>
        <v>528</v>
      </c>
      <c r="O12" s="786">
        <f>ROUND(526.5*Belarus*(1-C80),2)</f>
        <v>526.5</v>
      </c>
      <c r="P12" s="786">
        <f>ROUND(570*Belarus*(1-C80),2)</f>
        <v>570</v>
      </c>
      <c r="Q12" s="786">
        <f>ROUND(563.6*Belarus*(1-C80),2)</f>
        <v>563.6</v>
      </c>
    </row>
    <row r="13" spans="1:17" s="189" customFormat="1" ht="15.75" customHeight="1">
      <c r="A13" s="2886"/>
      <c r="B13" s="2888"/>
      <c r="C13" s="2886"/>
      <c r="D13" s="2886"/>
      <c r="E13" s="2886"/>
      <c r="F13" s="2888"/>
      <c r="G13" s="2886"/>
      <c r="H13" s="2890" t="s">
        <v>3981</v>
      </c>
      <c r="I13" s="2892">
        <v>6</v>
      </c>
      <c r="J13" s="2890" t="s">
        <v>3980</v>
      </c>
      <c r="K13" s="2894">
        <v>0.28799999999999998</v>
      </c>
      <c r="L13" s="2890">
        <v>2.88</v>
      </c>
      <c r="M13" s="252" t="s">
        <v>3325</v>
      </c>
      <c r="N13" s="785">
        <f>N14/0.288</f>
        <v>1833.3333333333335</v>
      </c>
      <c r="O13" s="785">
        <f>O14/0.288</f>
        <v>1828.1250000000002</v>
      </c>
      <c r="P13" s="785">
        <f>P14/0.288</f>
        <v>1819.4444444444446</v>
      </c>
      <c r="Q13" s="785">
        <f>Q14/0.288</f>
        <v>1956.9444444444446</v>
      </c>
    </row>
    <row r="14" spans="1:17" s="189" customFormat="1" ht="15.75" customHeight="1">
      <c r="A14" s="2672"/>
      <c r="B14" s="2889"/>
      <c r="C14" s="2672"/>
      <c r="D14" s="2672"/>
      <c r="E14" s="2672"/>
      <c r="F14" s="2889"/>
      <c r="G14" s="2672"/>
      <c r="H14" s="2891"/>
      <c r="I14" s="2893"/>
      <c r="J14" s="2891"/>
      <c r="K14" s="2895"/>
      <c r="L14" s="2891"/>
      <c r="M14" s="252" t="s">
        <v>1082</v>
      </c>
      <c r="N14" s="786">
        <f>ROUND(528*Belarus*(1-C80),2)</f>
        <v>528</v>
      </c>
      <c r="O14" s="786">
        <f>ROUND(526.5*Belarus*(1-C80),2)</f>
        <v>526.5</v>
      </c>
      <c r="P14" s="786">
        <f>ROUND(524*Belarus*(1-D80),2)</f>
        <v>524</v>
      </c>
      <c r="Q14" s="786">
        <f>ROUND(563.6*Belarus*(1-C80),2)</f>
        <v>563.6</v>
      </c>
    </row>
    <row r="15" spans="1:17" s="189" customFormat="1" ht="15.75" customHeight="1">
      <c r="A15" s="2671" t="s">
        <v>3984</v>
      </c>
      <c r="B15" s="2887" t="s">
        <v>3985</v>
      </c>
      <c r="C15" s="2671" t="s">
        <v>3970</v>
      </c>
      <c r="D15" s="2671" t="s">
        <v>3982</v>
      </c>
      <c r="E15" s="2671" t="s">
        <v>3972</v>
      </c>
      <c r="F15" s="2887" t="s">
        <v>3986</v>
      </c>
      <c r="G15" s="2671">
        <v>35</v>
      </c>
      <c r="H15" s="2890" t="s">
        <v>3987</v>
      </c>
      <c r="I15" s="2892">
        <v>8</v>
      </c>
      <c r="J15" s="2890" t="s">
        <v>3988</v>
      </c>
      <c r="K15" s="2894">
        <v>0.28799999999999998</v>
      </c>
      <c r="L15" s="2890">
        <v>5.76</v>
      </c>
      <c r="M15" s="252" t="s">
        <v>3325</v>
      </c>
      <c r="N15" s="785">
        <f>N16/0.288</f>
        <v>1781.2500000000002</v>
      </c>
      <c r="O15" s="785">
        <f>O16/0.288</f>
        <v>1645.8333333333335</v>
      </c>
      <c r="P15" s="785">
        <f>P16/0.288</f>
        <v>1697.9166666666667</v>
      </c>
      <c r="Q15" s="785">
        <f>Q16/0.288</f>
        <v>1871.5277777777778</v>
      </c>
    </row>
    <row r="16" spans="1:17" s="189" customFormat="1" ht="15.75" customHeight="1">
      <c r="A16" s="2886"/>
      <c r="B16" s="2888"/>
      <c r="C16" s="2886"/>
      <c r="D16" s="2886"/>
      <c r="E16" s="2886"/>
      <c r="F16" s="2888"/>
      <c r="G16" s="2886"/>
      <c r="H16" s="2891"/>
      <c r="I16" s="2893"/>
      <c r="J16" s="2891"/>
      <c r="K16" s="2895"/>
      <c r="L16" s="2891"/>
      <c r="M16" s="252" t="s">
        <v>1082</v>
      </c>
      <c r="N16" s="786">
        <f>ROUND(513*Belarus*(1-C82),2)</f>
        <v>513</v>
      </c>
      <c r="O16" s="786">
        <f>ROUND(474*Belarus*(1-C82),2)</f>
        <v>474</v>
      </c>
      <c r="P16" s="786">
        <f>ROUND(489*Belarus*(1-C82),2)</f>
        <v>489</v>
      </c>
      <c r="Q16" s="786">
        <f>ROUND(539*Belarus*(1-C82),2)</f>
        <v>539</v>
      </c>
    </row>
    <row r="17" spans="1:17" s="189" customFormat="1" ht="15.75" customHeight="1">
      <c r="A17" s="2886"/>
      <c r="B17" s="2888"/>
      <c r="C17" s="2886"/>
      <c r="D17" s="2886"/>
      <c r="E17" s="2886"/>
      <c r="F17" s="2888"/>
      <c r="G17" s="2886"/>
      <c r="H17" s="2890" t="s">
        <v>3987</v>
      </c>
      <c r="I17" s="2892">
        <v>12</v>
      </c>
      <c r="J17" s="2890" t="s">
        <v>3989</v>
      </c>
      <c r="K17" s="2894">
        <v>0.432</v>
      </c>
      <c r="L17" s="2890">
        <v>8.64</v>
      </c>
      <c r="M17" s="252" t="s">
        <v>3325</v>
      </c>
      <c r="N17" s="856" t="s">
        <v>369</v>
      </c>
      <c r="O17" s="856" t="s">
        <v>369</v>
      </c>
      <c r="P17" s="856" t="s">
        <v>369</v>
      </c>
      <c r="Q17" s="856" t="s">
        <v>369</v>
      </c>
    </row>
    <row r="18" spans="1:17" s="189" customFormat="1" ht="15.75" customHeight="1">
      <c r="A18" s="2886"/>
      <c r="B18" s="2888"/>
      <c r="C18" s="2886"/>
      <c r="D18" s="2886"/>
      <c r="E18" s="2886"/>
      <c r="F18" s="2888"/>
      <c r="G18" s="2886"/>
      <c r="H18" s="2891"/>
      <c r="I18" s="2893"/>
      <c r="J18" s="2891"/>
      <c r="K18" s="2895"/>
      <c r="L18" s="2891"/>
      <c r="M18" s="252" t="s">
        <v>1082</v>
      </c>
      <c r="N18" s="771" t="s">
        <v>369</v>
      </c>
      <c r="O18" s="771" t="s">
        <v>369</v>
      </c>
      <c r="P18" s="771" t="s">
        <v>369</v>
      </c>
      <c r="Q18" s="771" t="s">
        <v>369</v>
      </c>
    </row>
    <row r="19" spans="1:17" s="189" customFormat="1" ht="15.75" customHeight="1">
      <c r="A19" s="2886"/>
      <c r="B19" s="2888"/>
      <c r="C19" s="2886"/>
      <c r="D19" s="2886"/>
      <c r="E19" s="2886"/>
      <c r="F19" s="2888"/>
      <c r="G19" s="2886"/>
      <c r="H19" s="2890" t="s">
        <v>3983</v>
      </c>
      <c r="I19" s="2892">
        <v>6</v>
      </c>
      <c r="J19" s="2890" t="s">
        <v>3989</v>
      </c>
      <c r="K19" s="2894">
        <v>0.432</v>
      </c>
      <c r="L19" s="2890">
        <v>4.32</v>
      </c>
      <c r="M19" s="252" t="s">
        <v>3325</v>
      </c>
      <c r="N19" s="785">
        <f>N20/0.432</f>
        <v>1780.0925925925926</v>
      </c>
      <c r="O19" s="785">
        <f>O20/0.432</f>
        <v>1641.2037037037037</v>
      </c>
      <c r="P19" s="785">
        <f>P20/0.432</f>
        <v>1699.0740740740741</v>
      </c>
      <c r="Q19" s="785">
        <f>Q20/0.432</f>
        <v>1872.6851851851852</v>
      </c>
    </row>
    <row r="20" spans="1:17" s="189" customFormat="1" ht="15.75" customHeight="1">
      <c r="A20" s="2672"/>
      <c r="B20" s="2889"/>
      <c r="C20" s="2672"/>
      <c r="D20" s="2672"/>
      <c r="E20" s="2672"/>
      <c r="F20" s="2889"/>
      <c r="G20" s="2672"/>
      <c r="H20" s="2891"/>
      <c r="I20" s="2893"/>
      <c r="J20" s="2891"/>
      <c r="K20" s="2895"/>
      <c r="L20" s="2891"/>
      <c r="M20" s="252" t="s">
        <v>1082</v>
      </c>
      <c r="N20" s="786">
        <f>ROUND(769*Belarus*(1-C82),2)</f>
        <v>769</v>
      </c>
      <c r="O20" s="786">
        <f>ROUND(709*Belarus*(1-C82),2)</f>
        <v>709</v>
      </c>
      <c r="P20" s="786">
        <f>ROUND(734*Belarus*(1-C82),2)</f>
        <v>734</v>
      </c>
      <c r="Q20" s="786">
        <f>ROUND(809*Belarus*(1-C82),2)</f>
        <v>809</v>
      </c>
    </row>
    <row r="21" spans="1:17" s="189" customFormat="1" ht="15.75" customHeight="1">
      <c r="A21" s="2671" t="s">
        <v>3984</v>
      </c>
      <c r="B21" s="2887" t="s">
        <v>3990</v>
      </c>
      <c r="C21" s="2671" t="s">
        <v>3970</v>
      </c>
      <c r="D21" s="2671" t="s">
        <v>3991</v>
      </c>
      <c r="E21" s="2671" t="s">
        <v>3972</v>
      </c>
      <c r="F21" s="2887" t="s">
        <v>3973</v>
      </c>
      <c r="G21" s="2671">
        <v>45</v>
      </c>
      <c r="H21" s="2890" t="s">
        <v>3987</v>
      </c>
      <c r="I21" s="2892">
        <v>8</v>
      </c>
      <c r="J21" s="2890" t="s">
        <v>3988</v>
      </c>
      <c r="K21" s="2894">
        <v>0.28799999999999998</v>
      </c>
      <c r="L21" s="2890">
        <v>5.76</v>
      </c>
      <c r="M21" s="252" t="s">
        <v>3325</v>
      </c>
      <c r="N21" s="785">
        <f>N22/0.288</f>
        <v>2170.1388888888891</v>
      </c>
      <c r="O21" s="18" t="s">
        <v>369</v>
      </c>
      <c r="P21" s="785">
        <f>P22/0.288</f>
        <v>2465.2777777777778</v>
      </c>
      <c r="Q21" s="771" t="s">
        <v>369</v>
      </c>
    </row>
    <row r="22" spans="1:17" s="189" customFormat="1" ht="15.75" customHeight="1">
      <c r="A22" s="2886"/>
      <c r="B22" s="2888"/>
      <c r="C22" s="2886"/>
      <c r="D22" s="2886"/>
      <c r="E22" s="2886"/>
      <c r="F22" s="2888"/>
      <c r="G22" s="2886"/>
      <c r="H22" s="2891"/>
      <c r="I22" s="2893"/>
      <c r="J22" s="2891"/>
      <c r="K22" s="2895"/>
      <c r="L22" s="2891"/>
      <c r="M22" s="252" t="s">
        <v>1082</v>
      </c>
      <c r="N22" s="786">
        <f>ROUND(625*Belarus*(1-C82),2)</f>
        <v>625</v>
      </c>
      <c r="O22" s="771" t="s">
        <v>369</v>
      </c>
      <c r="P22" s="786">
        <f>ROUND(710*Belarus*(1-C82),2)</f>
        <v>710</v>
      </c>
      <c r="Q22" s="771" t="s">
        <v>369</v>
      </c>
    </row>
    <row r="23" spans="1:17" s="189" customFormat="1" ht="15.75" customHeight="1">
      <c r="A23" s="2886"/>
      <c r="B23" s="2888"/>
      <c r="C23" s="2886"/>
      <c r="D23" s="2886"/>
      <c r="E23" s="2886"/>
      <c r="F23" s="2888"/>
      <c r="G23" s="2886"/>
      <c r="H23" s="2890" t="s">
        <v>3983</v>
      </c>
      <c r="I23" s="2892">
        <v>4</v>
      </c>
      <c r="J23" s="2890" t="s">
        <v>3989</v>
      </c>
      <c r="K23" s="2894">
        <v>0.28799999999999998</v>
      </c>
      <c r="L23" s="2890">
        <v>5.76</v>
      </c>
      <c r="M23" s="252" t="s">
        <v>3325</v>
      </c>
      <c r="N23" s="786" t="s">
        <v>369</v>
      </c>
      <c r="O23" s="18" t="s">
        <v>369</v>
      </c>
      <c r="P23" s="785">
        <f>P24/0.288</f>
        <v>2465.2777777777778</v>
      </c>
      <c r="Q23" s="771" t="s">
        <v>369</v>
      </c>
    </row>
    <row r="24" spans="1:17" s="189" customFormat="1" ht="15.75" customHeight="1">
      <c r="A24" s="2886"/>
      <c r="B24" s="2888"/>
      <c r="C24" s="2886"/>
      <c r="D24" s="2886"/>
      <c r="E24" s="2886"/>
      <c r="F24" s="2888"/>
      <c r="G24" s="2886"/>
      <c r="H24" s="2891"/>
      <c r="I24" s="2893"/>
      <c r="J24" s="2891"/>
      <c r="K24" s="2895"/>
      <c r="L24" s="2891"/>
      <c r="M24" s="252" t="s">
        <v>1082</v>
      </c>
      <c r="N24" s="786" t="s">
        <v>369</v>
      </c>
      <c r="O24" s="771" t="s">
        <v>369</v>
      </c>
      <c r="P24" s="786">
        <f>ROUND(710*Belarus*(1-C82),2)</f>
        <v>710</v>
      </c>
      <c r="Q24" s="771" t="s">
        <v>369</v>
      </c>
    </row>
    <row r="25" spans="1:17" s="189" customFormat="1" ht="15.75" customHeight="1">
      <c r="A25" s="2886"/>
      <c r="B25" s="2888"/>
      <c r="C25" s="2886"/>
      <c r="D25" s="2886"/>
      <c r="E25" s="2886"/>
      <c r="F25" s="2888"/>
      <c r="G25" s="2886"/>
      <c r="H25" s="2890" t="s">
        <v>3983</v>
      </c>
      <c r="I25" s="2892">
        <v>6</v>
      </c>
      <c r="J25" s="2890" t="s">
        <v>3989</v>
      </c>
      <c r="K25" s="2894">
        <v>0.432</v>
      </c>
      <c r="L25" s="2890">
        <v>4.32</v>
      </c>
      <c r="M25" s="252" t="s">
        <v>3325</v>
      </c>
      <c r="N25" s="785">
        <f>N26/0.432</f>
        <v>2168.9814814814813</v>
      </c>
      <c r="O25" s="101" t="s">
        <v>369</v>
      </c>
      <c r="P25" s="101" t="s">
        <v>369</v>
      </c>
      <c r="Q25" s="771" t="s">
        <v>369</v>
      </c>
    </row>
    <row r="26" spans="1:17" s="189" customFormat="1" ht="15.75" customHeight="1">
      <c r="A26" s="2886"/>
      <c r="B26" s="2888"/>
      <c r="C26" s="2886"/>
      <c r="D26" s="2886"/>
      <c r="E26" s="2886"/>
      <c r="F26" s="2888"/>
      <c r="G26" s="2886"/>
      <c r="H26" s="2891"/>
      <c r="I26" s="2893"/>
      <c r="J26" s="2891"/>
      <c r="K26" s="2895"/>
      <c r="L26" s="2891"/>
      <c r="M26" s="252" t="s">
        <v>1082</v>
      </c>
      <c r="N26" s="786">
        <f>ROUND(937*Belarus*(1-C82),2)</f>
        <v>937</v>
      </c>
      <c r="O26" s="771" t="s">
        <v>369</v>
      </c>
      <c r="P26" s="771" t="s">
        <v>369</v>
      </c>
      <c r="Q26" s="771" t="s">
        <v>369</v>
      </c>
    </row>
    <row r="27" spans="1:17" s="189" customFormat="1" ht="15.75" customHeight="1">
      <c r="A27" s="1765" t="s">
        <v>3992</v>
      </c>
      <c r="B27" s="1868" t="s">
        <v>3993</v>
      </c>
      <c r="C27" s="1765" t="s">
        <v>3970</v>
      </c>
      <c r="D27" s="1765" t="s">
        <v>3991</v>
      </c>
      <c r="E27" s="1765" t="s">
        <v>3972</v>
      </c>
      <c r="F27" s="1868" t="s">
        <v>3994</v>
      </c>
      <c r="G27" s="2892">
        <v>18</v>
      </c>
      <c r="H27" s="2892" t="s">
        <v>3995</v>
      </c>
      <c r="I27" s="2892">
        <v>16</v>
      </c>
      <c r="J27" s="2892" t="s">
        <v>3996</v>
      </c>
      <c r="K27" s="2894">
        <v>0.6</v>
      </c>
      <c r="L27" s="2890">
        <v>12</v>
      </c>
      <c r="M27" s="252" t="s">
        <v>3325</v>
      </c>
      <c r="N27" s="236">
        <f>N28/0.6</f>
        <v>1583.3333333333335</v>
      </c>
      <c r="O27" s="236">
        <f>O28/0.6</f>
        <v>1726.6666666666667</v>
      </c>
      <c r="P27" s="236">
        <f>P28/0.6</f>
        <v>1583.3333333333335</v>
      </c>
      <c r="Q27" s="236">
        <f>Q28/0.6</f>
        <v>1561.6666666666667</v>
      </c>
    </row>
    <row r="28" spans="1:17" s="189" customFormat="1" ht="15.75" customHeight="1">
      <c r="A28" s="1456"/>
      <c r="B28" s="1869"/>
      <c r="C28" s="1456"/>
      <c r="D28" s="1456"/>
      <c r="E28" s="1456"/>
      <c r="F28" s="1869"/>
      <c r="G28" s="2893"/>
      <c r="H28" s="2893"/>
      <c r="I28" s="2893"/>
      <c r="J28" s="2893"/>
      <c r="K28" s="2895"/>
      <c r="L28" s="2891"/>
      <c r="M28" s="252" t="s">
        <v>1082</v>
      </c>
      <c r="N28" s="769">
        <f>ROUND(950*Belarus*(1-C83),2)</f>
        <v>950</v>
      </c>
      <c r="O28" s="769">
        <f>ROUND(1036*Belarus*(1-C83),2)</f>
        <v>1036</v>
      </c>
      <c r="P28" s="769">
        <f>ROUND(950*Belarus*(1-C83),2)</f>
        <v>950</v>
      </c>
      <c r="Q28" s="769">
        <f>ROUND(937*Belarus*(1-C83),2)</f>
        <v>937</v>
      </c>
    </row>
    <row r="29" spans="1:17" s="189" customFormat="1" ht="15.75" customHeight="1">
      <c r="A29" s="1765" t="s">
        <v>3992</v>
      </c>
      <c r="B29" s="1868" t="s">
        <v>3997</v>
      </c>
      <c r="C29" s="1765" t="s">
        <v>3970</v>
      </c>
      <c r="D29" s="1765" t="s">
        <v>3991</v>
      </c>
      <c r="E29" s="1765" t="s">
        <v>3972</v>
      </c>
      <c r="F29" s="1868" t="s">
        <v>3994</v>
      </c>
      <c r="G29" s="2892">
        <v>18</v>
      </c>
      <c r="H29" s="2892" t="s">
        <v>3998</v>
      </c>
      <c r="I29" s="2892">
        <v>8</v>
      </c>
      <c r="J29" s="2892" t="s">
        <v>3999</v>
      </c>
      <c r="K29" s="2894">
        <v>0.6</v>
      </c>
      <c r="L29" s="2890">
        <v>6</v>
      </c>
      <c r="M29" s="252" t="s">
        <v>3325</v>
      </c>
      <c r="N29" s="236">
        <f>N30/0.6</f>
        <v>1583.3333333333335</v>
      </c>
      <c r="O29" s="236">
        <f>O30/0.6</f>
        <v>1726.6666666666667</v>
      </c>
      <c r="P29" s="236">
        <f>P30/0.6</f>
        <v>1583.3333333333335</v>
      </c>
      <c r="Q29" s="236">
        <f>Q30/0.6</f>
        <v>1561.6666666666667</v>
      </c>
    </row>
    <row r="30" spans="1:17" s="189" customFormat="1" ht="15.75" customHeight="1">
      <c r="A30" s="1456"/>
      <c r="B30" s="1869"/>
      <c r="C30" s="1456"/>
      <c r="D30" s="1456"/>
      <c r="E30" s="1456"/>
      <c r="F30" s="1869"/>
      <c r="G30" s="2893"/>
      <c r="H30" s="2893"/>
      <c r="I30" s="2893"/>
      <c r="J30" s="2893"/>
      <c r="K30" s="2895"/>
      <c r="L30" s="2891"/>
      <c r="M30" s="252" t="s">
        <v>1082</v>
      </c>
      <c r="N30" s="769">
        <f>ROUND(950*Belarus*(1-C83),2)</f>
        <v>950</v>
      </c>
      <c r="O30" s="769">
        <f>ROUND(1036*Belarus*(1-C83),2)</f>
        <v>1036</v>
      </c>
      <c r="P30" s="769">
        <f>ROUND(950*Belarus*(1-C83),2)</f>
        <v>950</v>
      </c>
      <c r="Q30" s="769">
        <f>ROUND(937*Belarus*(1-C83),2)</f>
        <v>937</v>
      </c>
    </row>
    <row r="31" spans="1:17" s="189" customFormat="1" ht="15.75" customHeight="1">
      <c r="A31" s="1765" t="s">
        <v>3992</v>
      </c>
      <c r="B31" s="1868" t="s">
        <v>5340</v>
      </c>
      <c r="C31" s="1765" t="s">
        <v>3970</v>
      </c>
      <c r="D31" s="1765" t="s">
        <v>3991</v>
      </c>
      <c r="E31" s="1765" t="s">
        <v>4000</v>
      </c>
      <c r="F31" s="1868" t="s">
        <v>4001</v>
      </c>
      <c r="G31" s="2892">
        <v>20</v>
      </c>
      <c r="H31" s="2892" t="s">
        <v>3995</v>
      </c>
      <c r="I31" s="2892">
        <v>16</v>
      </c>
      <c r="J31" s="2892" t="s">
        <v>3996</v>
      </c>
      <c r="K31" s="2894">
        <v>0.6</v>
      </c>
      <c r="L31" s="2890">
        <v>12</v>
      </c>
      <c r="M31" s="252" t="s">
        <v>3325</v>
      </c>
      <c r="N31" s="236">
        <f>N32/0.6</f>
        <v>1660</v>
      </c>
      <c r="O31" s="236" t="s">
        <v>369</v>
      </c>
      <c r="P31" s="236" t="s">
        <v>369</v>
      </c>
      <c r="Q31" s="236" t="s">
        <v>369</v>
      </c>
    </row>
    <row r="32" spans="1:17" s="189" customFormat="1" ht="15.75" customHeight="1">
      <c r="A32" s="1456"/>
      <c r="B32" s="1869"/>
      <c r="C32" s="1456"/>
      <c r="D32" s="1456"/>
      <c r="E32" s="1456"/>
      <c r="F32" s="1869"/>
      <c r="G32" s="2893"/>
      <c r="H32" s="2893"/>
      <c r="I32" s="2893"/>
      <c r="J32" s="2893"/>
      <c r="K32" s="2895"/>
      <c r="L32" s="2891"/>
      <c r="M32" s="252" t="s">
        <v>1082</v>
      </c>
      <c r="N32" s="769">
        <f>ROUND(996*Belarus*(1-C83),2)</f>
        <v>996</v>
      </c>
      <c r="O32" s="769" t="s">
        <v>369</v>
      </c>
      <c r="P32" s="769" t="s">
        <v>369</v>
      </c>
      <c r="Q32" s="769" t="s">
        <v>369</v>
      </c>
    </row>
    <row r="33" spans="1:17" s="189" customFormat="1" ht="15.75" customHeight="1">
      <c r="A33" s="1765" t="s">
        <v>3992</v>
      </c>
      <c r="B33" s="1868" t="s">
        <v>4002</v>
      </c>
      <c r="C33" s="1765" t="s">
        <v>3227</v>
      </c>
      <c r="D33" s="1765" t="s">
        <v>3991</v>
      </c>
      <c r="E33" s="1765" t="s">
        <v>4003</v>
      </c>
      <c r="F33" s="1868" t="s">
        <v>4004</v>
      </c>
      <c r="G33" s="2892">
        <v>15</v>
      </c>
      <c r="H33" s="2892" t="s">
        <v>4005</v>
      </c>
      <c r="I33" s="2892">
        <v>2</v>
      </c>
      <c r="J33" s="2892" t="s">
        <v>4006</v>
      </c>
      <c r="K33" s="2894">
        <v>0.75</v>
      </c>
      <c r="L33" s="2890">
        <v>15</v>
      </c>
      <c r="M33" s="252" t="s">
        <v>3325</v>
      </c>
      <c r="N33" s="236">
        <f>N34/0.75</f>
        <v>1582.6666666666667</v>
      </c>
      <c r="O33" s="577" t="s">
        <v>369</v>
      </c>
      <c r="P33" s="236">
        <f>P34/0.75</f>
        <v>1582.6666666666667</v>
      </c>
      <c r="Q33" s="577" t="s">
        <v>369</v>
      </c>
    </row>
    <row r="34" spans="1:17" s="189" customFormat="1" ht="15.75" customHeight="1">
      <c r="A34" s="1456"/>
      <c r="B34" s="1869"/>
      <c r="C34" s="1456"/>
      <c r="D34" s="1456"/>
      <c r="E34" s="1456"/>
      <c r="F34" s="1869"/>
      <c r="G34" s="2893"/>
      <c r="H34" s="2893"/>
      <c r="I34" s="2893"/>
      <c r="J34" s="2893"/>
      <c r="K34" s="2895"/>
      <c r="L34" s="2891"/>
      <c r="M34" s="252" t="s">
        <v>1082</v>
      </c>
      <c r="N34" s="769">
        <f>ROUND(1187*Belarus*(1-C83),2)</f>
        <v>1187</v>
      </c>
      <c r="O34" s="577" t="s">
        <v>369</v>
      </c>
      <c r="P34" s="769">
        <f>ROUND(1187*Belarus*(1-C83),2)</f>
        <v>1187</v>
      </c>
      <c r="Q34" s="577" t="s">
        <v>369</v>
      </c>
    </row>
    <row r="35" spans="1:17" s="189" customFormat="1" ht="15.75" customHeight="1">
      <c r="A35" s="1765" t="s">
        <v>3992</v>
      </c>
      <c r="B35" s="1868" t="s">
        <v>4007</v>
      </c>
      <c r="C35" s="1765" t="s">
        <v>3227</v>
      </c>
      <c r="D35" s="1765" t="s">
        <v>3991</v>
      </c>
      <c r="E35" s="1765" t="s">
        <v>4003</v>
      </c>
      <c r="F35" s="1868" t="s">
        <v>4004</v>
      </c>
      <c r="G35" s="2892">
        <v>15</v>
      </c>
      <c r="H35" s="2892" t="s">
        <v>4008</v>
      </c>
      <c r="I35" s="2892">
        <v>1</v>
      </c>
      <c r="J35" s="2892" t="s">
        <v>4006</v>
      </c>
      <c r="K35" s="2894">
        <v>1</v>
      </c>
      <c r="L35" s="2890">
        <v>6.71</v>
      </c>
      <c r="M35" s="252" t="s">
        <v>3325</v>
      </c>
      <c r="N35" s="236">
        <f>N36</f>
        <v>1595</v>
      </c>
      <c r="O35" s="577" t="s">
        <v>369</v>
      </c>
      <c r="P35" s="236">
        <f>P36</f>
        <v>1595</v>
      </c>
      <c r="Q35" s="577" t="s">
        <v>369</v>
      </c>
    </row>
    <row r="36" spans="1:17" s="189" customFormat="1" ht="15.75" customHeight="1">
      <c r="A36" s="1456"/>
      <c r="B36" s="1869"/>
      <c r="C36" s="1456"/>
      <c r="D36" s="1456"/>
      <c r="E36" s="1456"/>
      <c r="F36" s="1869"/>
      <c r="G36" s="2893"/>
      <c r="H36" s="2893"/>
      <c r="I36" s="2893"/>
      <c r="J36" s="2893"/>
      <c r="K36" s="2895"/>
      <c r="L36" s="2891"/>
      <c r="M36" s="252" t="s">
        <v>1082</v>
      </c>
      <c r="N36" s="769">
        <f>ROUND(1595*Belarus*(1-C83),2)</f>
        <v>1595</v>
      </c>
      <c r="O36" s="577" t="s">
        <v>369</v>
      </c>
      <c r="P36" s="769">
        <f>ROUND(1595*Belarus*(1-C83),2)</f>
        <v>1595</v>
      </c>
      <c r="Q36" s="577" t="s">
        <v>369</v>
      </c>
    </row>
    <row r="37" spans="1:17" s="189" customFormat="1" ht="15.75" customHeight="1">
      <c r="A37" s="2671" t="s">
        <v>3992</v>
      </c>
      <c r="B37" s="2887" t="s">
        <v>4009</v>
      </c>
      <c r="C37" s="2671" t="s">
        <v>3970</v>
      </c>
      <c r="D37" s="2671" t="s">
        <v>3991</v>
      </c>
      <c r="E37" s="2671" t="s">
        <v>3972</v>
      </c>
      <c r="F37" s="2887" t="s">
        <v>4010</v>
      </c>
      <c r="G37" s="2671" t="s">
        <v>369</v>
      </c>
      <c r="H37" s="2890" t="s">
        <v>3995</v>
      </c>
      <c r="I37" s="2892">
        <v>16</v>
      </c>
      <c r="J37" s="2890" t="s">
        <v>3996</v>
      </c>
      <c r="K37" s="2894">
        <v>0.6</v>
      </c>
      <c r="L37" s="2890">
        <v>12</v>
      </c>
      <c r="M37" s="252" t="s">
        <v>3325</v>
      </c>
      <c r="N37" s="675" t="str">
        <f>ROUND(VALUE((LEFT(N38,3)))/0.6,2)&amp;" (2)"</f>
        <v>1303,33 (2)</v>
      </c>
      <c r="O37" s="577" t="s">
        <v>369</v>
      </c>
      <c r="P37" s="675">
        <f>ROUND(VALUE((LEFT(P38,3)))/0.6,2)</f>
        <v>1303.33</v>
      </c>
      <c r="Q37" s="577" t="s">
        <v>369</v>
      </c>
    </row>
    <row r="38" spans="1:17" s="189" customFormat="1" ht="15.75" customHeight="1">
      <c r="A38" s="2886"/>
      <c r="B38" s="2888"/>
      <c r="C38" s="2886"/>
      <c r="D38" s="2886"/>
      <c r="E38" s="2886"/>
      <c r="F38" s="2888"/>
      <c r="G38" s="2886"/>
      <c r="H38" s="2891"/>
      <c r="I38" s="2893"/>
      <c r="J38" s="2891"/>
      <c r="K38" s="2895"/>
      <c r="L38" s="2891"/>
      <c r="M38" s="252" t="s">
        <v>1082</v>
      </c>
      <c r="N38" s="769" t="str">
        <f>ROUND(782*Belarus*(1-C83),2)&amp;" (2)"</f>
        <v>782 (2)</v>
      </c>
      <c r="O38" s="577" t="s">
        <v>369</v>
      </c>
      <c r="P38" s="769">
        <f>ROUND(782*Belarus*(1-C83),2)</f>
        <v>782</v>
      </c>
      <c r="Q38" s="577" t="s">
        <v>369</v>
      </c>
    </row>
    <row r="39" spans="1:17" s="189" customFormat="1" ht="15.75" customHeight="1">
      <c r="A39" s="2886"/>
      <c r="B39" s="2888"/>
      <c r="C39" s="2886"/>
      <c r="D39" s="2886"/>
      <c r="E39" s="2886"/>
      <c r="F39" s="2888"/>
      <c r="G39" s="2886"/>
      <c r="H39" s="2890" t="s">
        <v>4011</v>
      </c>
      <c r="I39" s="2892">
        <v>8</v>
      </c>
      <c r="J39" s="2892" t="s">
        <v>3999</v>
      </c>
      <c r="K39" s="2894">
        <v>0.6</v>
      </c>
      <c r="L39" s="2890">
        <v>6</v>
      </c>
      <c r="M39" s="252" t="s">
        <v>3325</v>
      </c>
      <c r="N39" s="675" t="str">
        <f>ROUND(VALUE((LEFT(N40,3)))/0.6,2)&amp;" (2)"</f>
        <v>1303,33 (2)</v>
      </c>
      <c r="O39" s="577" t="s">
        <v>369</v>
      </c>
      <c r="P39" s="675">
        <f>ROUND(VALUE((LEFT(P40,3)))/0.6,2)</f>
        <v>1303.33</v>
      </c>
      <c r="Q39" s="577" t="s">
        <v>369</v>
      </c>
    </row>
    <row r="40" spans="1:17" s="189" customFormat="1" ht="15.75" customHeight="1">
      <c r="A40" s="2672"/>
      <c r="B40" s="2889"/>
      <c r="C40" s="2672"/>
      <c r="D40" s="2672"/>
      <c r="E40" s="2672"/>
      <c r="F40" s="2889"/>
      <c r="G40" s="2672"/>
      <c r="H40" s="2891"/>
      <c r="I40" s="2893"/>
      <c r="J40" s="2893"/>
      <c r="K40" s="2895"/>
      <c r="L40" s="2891"/>
      <c r="M40" s="252" t="s">
        <v>1082</v>
      </c>
      <c r="N40" s="769" t="str">
        <f>ROUND(782*Belarus*(1-C83),2)&amp;" (2)"</f>
        <v>782 (2)</v>
      </c>
      <c r="O40" s="577" t="s">
        <v>369</v>
      </c>
      <c r="P40" s="769">
        <f>ROUND(782*Belarus*(1-C83),2)</f>
        <v>782</v>
      </c>
      <c r="Q40" s="577" t="s">
        <v>369</v>
      </c>
    </row>
    <row r="41" spans="1:17" s="189" customFormat="1" ht="15.75" customHeight="1">
      <c r="A41" s="1765" t="s">
        <v>3992</v>
      </c>
      <c r="B41" s="1868" t="s">
        <v>4012</v>
      </c>
      <c r="C41" s="1765" t="s">
        <v>3227</v>
      </c>
      <c r="D41" s="1765" t="s">
        <v>3991</v>
      </c>
      <c r="E41" s="1765" t="s">
        <v>3972</v>
      </c>
      <c r="F41" s="1868" t="s">
        <v>4013</v>
      </c>
      <c r="G41" s="2892" t="s">
        <v>369</v>
      </c>
      <c r="H41" s="2892" t="s">
        <v>4014</v>
      </c>
      <c r="I41" s="2892">
        <v>2</v>
      </c>
      <c r="J41" s="2892" t="s">
        <v>4015</v>
      </c>
      <c r="K41" s="2894">
        <v>1</v>
      </c>
      <c r="L41" s="2892">
        <v>20</v>
      </c>
      <c r="M41" s="252" t="s">
        <v>3325</v>
      </c>
      <c r="N41" s="236" t="str">
        <f>N42</f>
        <v>1168 (2)</v>
      </c>
      <c r="O41" s="577" t="s">
        <v>369</v>
      </c>
      <c r="P41" s="577" t="s">
        <v>369</v>
      </c>
      <c r="Q41" s="577" t="s">
        <v>369</v>
      </c>
    </row>
    <row r="42" spans="1:17" s="189" customFormat="1" ht="15.75" customHeight="1">
      <c r="A42" s="1456"/>
      <c r="B42" s="1869"/>
      <c r="C42" s="1456"/>
      <c r="D42" s="1456"/>
      <c r="E42" s="1456"/>
      <c r="F42" s="1869"/>
      <c r="G42" s="2893"/>
      <c r="H42" s="2893"/>
      <c r="I42" s="2893"/>
      <c r="J42" s="2893"/>
      <c r="K42" s="2895"/>
      <c r="L42" s="2893"/>
      <c r="M42" s="252" t="s">
        <v>1082</v>
      </c>
      <c r="N42" s="769" t="str">
        <f>ROUND(1168*Belarus*(1-C83),2)&amp;" (2)"</f>
        <v>1168 (2)</v>
      </c>
      <c r="O42" s="577" t="s">
        <v>369</v>
      </c>
      <c r="P42" s="577" t="s">
        <v>369</v>
      </c>
      <c r="Q42" s="577" t="s">
        <v>369</v>
      </c>
    </row>
    <row r="43" spans="1:17" s="52" customFormat="1" ht="15" customHeight="1">
      <c r="A43" s="2896"/>
      <c r="B43" s="2896"/>
      <c r="C43" s="2896"/>
      <c r="D43" s="2896"/>
      <c r="E43" s="2896"/>
      <c r="F43" s="2896"/>
      <c r="G43" s="2896"/>
      <c r="H43" s="2896"/>
      <c r="I43" s="2896"/>
      <c r="J43" s="2896"/>
      <c r="K43" s="2896"/>
      <c r="L43" s="2896"/>
      <c r="M43" s="1887"/>
      <c r="N43" s="1530" t="s">
        <v>4016</v>
      </c>
      <c r="O43" s="1530"/>
      <c r="P43" s="1530"/>
      <c r="Q43" s="1530"/>
    </row>
    <row r="44" spans="1:17" s="189" customFormat="1" ht="15.75" customHeight="1">
      <c r="A44" s="1765" t="s">
        <v>3992</v>
      </c>
      <c r="B44" s="1868" t="s">
        <v>4017</v>
      </c>
      <c r="C44" s="1765" t="s">
        <v>3970</v>
      </c>
      <c r="D44" s="1765" t="s">
        <v>3991</v>
      </c>
      <c r="E44" s="1765" t="s">
        <v>4018</v>
      </c>
      <c r="F44" s="1868" t="s">
        <v>4019</v>
      </c>
      <c r="G44" s="2892">
        <v>25</v>
      </c>
      <c r="H44" s="2892" t="s">
        <v>4020</v>
      </c>
      <c r="I44" s="2892">
        <v>16</v>
      </c>
      <c r="J44" s="2892" t="s">
        <v>4021</v>
      </c>
      <c r="K44" s="2894">
        <v>0.6</v>
      </c>
      <c r="L44" s="2890">
        <v>12</v>
      </c>
      <c r="M44" s="252" t="s">
        <v>3325</v>
      </c>
      <c r="N44" s="236">
        <f>N45/0.6</f>
        <v>1856.6666666666667</v>
      </c>
      <c r="O44" s="577" t="s">
        <v>369</v>
      </c>
      <c r="P44" s="577" t="s">
        <v>369</v>
      </c>
      <c r="Q44" s="577" t="s">
        <v>369</v>
      </c>
    </row>
    <row r="45" spans="1:17" s="189" customFormat="1" ht="15.75" customHeight="1">
      <c r="A45" s="1456"/>
      <c r="B45" s="1869"/>
      <c r="C45" s="1456"/>
      <c r="D45" s="1456"/>
      <c r="E45" s="1456"/>
      <c r="F45" s="1869"/>
      <c r="G45" s="2893"/>
      <c r="H45" s="2893"/>
      <c r="I45" s="2893"/>
      <c r="J45" s="2893"/>
      <c r="K45" s="2895"/>
      <c r="L45" s="2891"/>
      <c r="M45" s="252" t="s">
        <v>1082</v>
      </c>
      <c r="N45" s="769">
        <f>ROUND(1114*Belarus*(1-C83),2)</f>
        <v>1114</v>
      </c>
      <c r="O45" s="577" t="s">
        <v>369</v>
      </c>
      <c r="P45" s="577" t="s">
        <v>369</v>
      </c>
      <c r="Q45" s="577" t="s">
        <v>369</v>
      </c>
    </row>
    <row r="46" spans="1:17" s="189" customFormat="1" ht="15.75" customHeight="1">
      <c r="A46" s="1765" t="s">
        <v>3992</v>
      </c>
      <c r="B46" s="1868" t="s">
        <v>4022</v>
      </c>
      <c r="C46" s="1765" t="s">
        <v>3970</v>
      </c>
      <c r="D46" s="1765" t="s">
        <v>3991</v>
      </c>
      <c r="E46" s="1765" t="s">
        <v>4018</v>
      </c>
      <c r="F46" s="1868" t="s">
        <v>4023</v>
      </c>
      <c r="G46" s="2892">
        <v>25</v>
      </c>
      <c r="H46" s="2892" t="s">
        <v>4020</v>
      </c>
      <c r="I46" s="2892">
        <v>12</v>
      </c>
      <c r="J46" s="2892" t="s">
        <v>4024</v>
      </c>
      <c r="K46" s="2894">
        <v>0.6</v>
      </c>
      <c r="L46" s="2890">
        <v>9</v>
      </c>
      <c r="M46" s="252" t="s">
        <v>3325</v>
      </c>
      <c r="N46" s="769" t="s">
        <v>369</v>
      </c>
      <c r="O46" s="577" t="s">
        <v>369</v>
      </c>
      <c r="P46" s="577" t="s">
        <v>369</v>
      </c>
      <c r="Q46" s="236">
        <f>Q47/0.6</f>
        <v>1585</v>
      </c>
    </row>
    <row r="47" spans="1:17" s="189" customFormat="1" ht="15.75" customHeight="1">
      <c r="A47" s="1456"/>
      <c r="B47" s="1869"/>
      <c r="C47" s="1456"/>
      <c r="D47" s="1456"/>
      <c r="E47" s="1456"/>
      <c r="F47" s="1869"/>
      <c r="G47" s="2893"/>
      <c r="H47" s="2893"/>
      <c r="I47" s="2893"/>
      <c r="J47" s="2893"/>
      <c r="K47" s="2895"/>
      <c r="L47" s="2891"/>
      <c r="M47" s="252" t="s">
        <v>1082</v>
      </c>
      <c r="N47" s="769" t="s">
        <v>369</v>
      </c>
      <c r="O47" s="577" t="s">
        <v>369</v>
      </c>
      <c r="P47" s="577" t="s">
        <v>369</v>
      </c>
      <c r="Q47" s="769">
        <f>ROUND(951*Belarus*(1-C83),2)</f>
        <v>951</v>
      </c>
    </row>
    <row r="48" spans="1:17" s="189" customFormat="1" ht="20.25" customHeight="1">
      <c r="A48" s="1765" t="s">
        <v>3992</v>
      </c>
      <c r="B48" s="1868" t="s">
        <v>4025</v>
      </c>
      <c r="C48" s="1765" t="s">
        <v>3227</v>
      </c>
      <c r="D48" s="1765" t="s">
        <v>3991</v>
      </c>
      <c r="E48" s="1765" t="s">
        <v>3972</v>
      </c>
      <c r="F48" s="1868" t="s">
        <v>4026</v>
      </c>
      <c r="G48" s="2892">
        <v>18</v>
      </c>
      <c r="H48" s="2892" t="s">
        <v>4027</v>
      </c>
      <c r="I48" s="2892">
        <v>2</v>
      </c>
      <c r="J48" s="2892" t="s">
        <v>4028</v>
      </c>
      <c r="K48" s="2894">
        <v>0.75</v>
      </c>
      <c r="L48" s="2890">
        <v>15</v>
      </c>
      <c r="M48" s="252" t="s">
        <v>3325</v>
      </c>
      <c r="N48" s="236">
        <f>N49/0.75</f>
        <v>1680</v>
      </c>
      <c r="O48" s="577" t="s">
        <v>369</v>
      </c>
      <c r="P48" s="577" t="s">
        <v>369</v>
      </c>
      <c r="Q48" s="577" t="s">
        <v>369</v>
      </c>
    </row>
    <row r="49" spans="1:17" s="189" customFormat="1" ht="18" customHeight="1">
      <c r="A49" s="1456"/>
      <c r="B49" s="1869"/>
      <c r="C49" s="1456"/>
      <c r="D49" s="1456"/>
      <c r="E49" s="1456"/>
      <c r="F49" s="1869"/>
      <c r="G49" s="2893"/>
      <c r="H49" s="2893"/>
      <c r="I49" s="2893"/>
      <c r="J49" s="2893"/>
      <c r="K49" s="2895"/>
      <c r="L49" s="2891"/>
      <c r="M49" s="252" t="s">
        <v>1082</v>
      </c>
      <c r="N49" s="769">
        <f>ROUND(1260*Belarus*(1-C83),2)</f>
        <v>1260</v>
      </c>
      <c r="O49" s="577" t="s">
        <v>369</v>
      </c>
      <c r="P49" s="577" t="s">
        <v>369</v>
      </c>
      <c r="Q49" s="577" t="s">
        <v>369</v>
      </c>
    </row>
    <row r="50" spans="1:17" s="189" customFormat="1" ht="15.75" customHeight="1">
      <c r="A50" s="1765" t="s">
        <v>3992</v>
      </c>
      <c r="B50" s="1868" t="s">
        <v>4029</v>
      </c>
      <c r="C50" s="1765" t="s">
        <v>3227</v>
      </c>
      <c r="D50" s="1765" t="s">
        <v>3991</v>
      </c>
      <c r="E50" s="1765" t="s">
        <v>4003</v>
      </c>
      <c r="F50" s="1868" t="s">
        <v>4004</v>
      </c>
      <c r="G50" s="2892">
        <v>15</v>
      </c>
      <c r="H50" s="2892" t="s">
        <v>4030</v>
      </c>
      <c r="I50" s="2892">
        <v>2</v>
      </c>
      <c r="J50" s="2892" t="s">
        <v>4015</v>
      </c>
      <c r="K50" s="2894">
        <v>1.08</v>
      </c>
      <c r="L50" s="2890">
        <v>21.6</v>
      </c>
      <c r="M50" s="252" t="s">
        <v>3325</v>
      </c>
      <c r="N50" s="236">
        <f>N51/1.08</f>
        <v>1678.7037037037037</v>
      </c>
      <c r="O50" s="577" t="s">
        <v>369</v>
      </c>
      <c r="P50" s="577" t="s">
        <v>369</v>
      </c>
      <c r="Q50" s="577" t="s">
        <v>369</v>
      </c>
    </row>
    <row r="51" spans="1:17" s="189" customFormat="1" ht="15.75" customHeight="1">
      <c r="A51" s="1456"/>
      <c r="B51" s="1869"/>
      <c r="C51" s="1456"/>
      <c r="D51" s="1456"/>
      <c r="E51" s="1456"/>
      <c r="F51" s="1869"/>
      <c r="G51" s="2893"/>
      <c r="H51" s="2893"/>
      <c r="I51" s="2893"/>
      <c r="J51" s="2893"/>
      <c r="K51" s="2895"/>
      <c r="L51" s="2891"/>
      <c r="M51" s="252" t="s">
        <v>1082</v>
      </c>
      <c r="N51" s="769">
        <f>ROUND(1813*Belarus*(1-C83),2)</f>
        <v>1813</v>
      </c>
      <c r="O51" s="577" t="s">
        <v>369</v>
      </c>
      <c r="P51" s="577" t="s">
        <v>369</v>
      </c>
      <c r="Q51" s="577" t="s">
        <v>369</v>
      </c>
    </row>
    <row r="52" spans="1:17" s="189" customFormat="1" ht="15.75" customHeight="1">
      <c r="A52" s="1765" t="s">
        <v>3992</v>
      </c>
      <c r="B52" s="1868" t="s">
        <v>4031</v>
      </c>
      <c r="C52" s="1765" t="s">
        <v>3227</v>
      </c>
      <c r="D52" s="1765" t="s">
        <v>3991</v>
      </c>
      <c r="E52" s="1765" t="s">
        <v>4032</v>
      </c>
      <c r="F52" s="1868" t="s">
        <v>4033</v>
      </c>
      <c r="G52" s="2892">
        <v>11</v>
      </c>
      <c r="H52" s="2892" t="s">
        <v>4034</v>
      </c>
      <c r="I52" s="2892">
        <v>2</v>
      </c>
      <c r="J52" s="2892" t="s">
        <v>4028</v>
      </c>
      <c r="K52" s="2894">
        <v>0.9</v>
      </c>
      <c r="L52" s="2890">
        <v>18</v>
      </c>
      <c r="M52" s="252" t="s">
        <v>3325</v>
      </c>
      <c r="N52" s="236">
        <f>N53/0.9</f>
        <v>1455.5555555555554</v>
      </c>
      <c r="O52" s="577" t="s">
        <v>369</v>
      </c>
      <c r="P52" s="577" t="s">
        <v>369</v>
      </c>
      <c r="Q52" s="577" t="s">
        <v>369</v>
      </c>
    </row>
    <row r="53" spans="1:17" s="189" customFormat="1" ht="15.75" customHeight="1">
      <c r="A53" s="1456"/>
      <c r="B53" s="1869"/>
      <c r="C53" s="1456"/>
      <c r="D53" s="1456"/>
      <c r="E53" s="1456"/>
      <c r="F53" s="1869"/>
      <c r="G53" s="2893"/>
      <c r="H53" s="2893"/>
      <c r="I53" s="2893"/>
      <c r="J53" s="2893"/>
      <c r="K53" s="2895"/>
      <c r="L53" s="2891"/>
      <c r="M53" s="252" t="s">
        <v>1082</v>
      </c>
      <c r="N53" s="769">
        <f>ROUND(1310*Belarus*(1-C83),2)</f>
        <v>1310</v>
      </c>
      <c r="O53" s="577" t="s">
        <v>369</v>
      </c>
      <c r="P53" s="577" t="s">
        <v>369</v>
      </c>
      <c r="Q53" s="577" t="s">
        <v>369</v>
      </c>
    </row>
    <row r="54" spans="1:17" s="189" customFormat="1">
      <c r="A54" s="1280" t="s">
        <v>4035</v>
      </c>
      <c r="B54" s="1280"/>
      <c r="C54" s="1280"/>
      <c r="D54" s="1280"/>
      <c r="E54" s="1280"/>
      <c r="F54" s="1280"/>
      <c r="G54" s="1280"/>
      <c r="H54" s="1280"/>
      <c r="I54" s="1280"/>
      <c r="J54" s="1280"/>
      <c r="K54" s="1280"/>
      <c r="L54" s="1280"/>
      <c r="M54" s="1280"/>
      <c r="N54" s="1280"/>
      <c r="O54" s="1280"/>
      <c r="P54" s="1280"/>
      <c r="Q54" s="1280"/>
    </row>
    <row r="55" spans="1:17" s="189" customFormat="1">
      <c r="A55" s="1280" t="s">
        <v>4036</v>
      </c>
      <c r="B55" s="1280"/>
      <c r="C55" s="1280"/>
      <c r="D55" s="1280"/>
      <c r="E55" s="1280"/>
      <c r="F55" s="1280"/>
      <c r="G55" s="1280"/>
      <c r="H55" s="1280"/>
      <c r="I55" s="1280"/>
      <c r="J55" s="1280"/>
      <c r="K55" s="1280"/>
      <c r="L55" s="1280"/>
      <c r="M55" s="1280"/>
      <c r="N55" s="1280"/>
      <c r="O55" s="1280"/>
      <c r="P55" s="1280"/>
      <c r="Q55" s="1280"/>
    </row>
    <row r="56" spans="1:17" s="189" customFormat="1">
      <c r="A56" s="1280" t="s">
        <v>4037</v>
      </c>
      <c r="B56" s="1280"/>
      <c r="C56" s="1280"/>
      <c r="D56" s="1280"/>
      <c r="E56" s="1280"/>
      <c r="F56" s="1280"/>
      <c r="G56" s="1280"/>
      <c r="H56" s="1280"/>
      <c r="I56" s="1280"/>
      <c r="J56" s="1280"/>
      <c r="K56" s="1280"/>
      <c r="L56" s="1280"/>
      <c r="M56" s="1280"/>
      <c r="N56" s="1280"/>
      <c r="O56" s="1280"/>
      <c r="P56" s="1280"/>
      <c r="Q56" s="1280"/>
    </row>
    <row r="57" spans="1:17" s="189" customFormat="1">
      <c r="A57" s="1280" t="s">
        <v>4038</v>
      </c>
      <c r="B57" s="1280"/>
      <c r="C57" s="1280"/>
      <c r="D57" s="1280"/>
      <c r="E57" s="1280"/>
      <c r="F57" s="1280"/>
      <c r="G57" s="1280"/>
      <c r="H57" s="1280"/>
      <c r="I57" s="1280"/>
      <c r="J57" s="1280"/>
      <c r="K57" s="1280"/>
      <c r="L57" s="1280"/>
      <c r="M57" s="1280"/>
      <c r="N57" s="1280"/>
      <c r="O57" s="1280"/>
      <c r="P57" s="1280"/>
      <c r="Q57" s="1280"/>
    </row>
    <row r="58" spans="1:17" s="189" customFormat="1">
      <c r="A58" s="1280" t="s">
        <v>4039</v>
      </c>
      <c r="B58" s="1280"/>
      <c r="C58" s="1280"/>
      <c r="D58" s="1280"/>
      <c r="E58" s="1280"/>
      <c r="F58" s="1280"/>
      <c r="G58" s="1280"/>
      <c r="H58" s="1280"/>
      <c r="I58" s="1280"/>
      <c r="J58" s="1280"/>
      <c r="K58" s="1280"/>
      <c r="L58" s="1280"/>
      <c r="M58" s="1280"/>
      <c r="N58" s="1280"/>
      <c r="O58" s="1280"/>
      <c r="P58" s="1280"/>
      <c r="Q58" s="1280"/>
    </row>
    <row r="59" spans="1:17" s="189" customFormat="1">
      <c r="A59" s="1280" t="s">
        <v>4040</v>
      </c>
      <c r="B59" s="1280"/>
      <c r="C59" s="1280"/>
      <c r="D59" s="1280"/>
      <c r="E59" s="1280"/>
      <c r="F59" s="1280"/>
      <c r="G59" s="1280"/>
      <c r="H59" s="1280"/>
      <c r="I59" s="1280"/>
      <c r="J59" s="1280"/>
      <c r="K59" s="1280"/>
      <c r="L59" s="1280"/>
      <c r="M59" s="1280"/>
      <c r="N59" s="1280"/>
      <c r="O59" s="1280"/>
      <c r="P59" s="1280"/>
      <c r="Q59" s="1280"/>
    </row>
    <row r="60" spans="1:17" s="189" customFormat="1">
      <c r="A60" s="1280" t="s">
        <v>4041</v>
      </c>
      <c r="B60" s="1280"/>
      <c r="C60" s="1280"/>
      <c r="D60" s="1280"/>
      <c r="E60" s="1280"/>
      <c r="F60" s="1280"/>
      <c r="G60" s="1280"/>
      <c r="H60" s="1280"/>
      <c r="I60" s="1280"/>
      <c r="J60" s="1280"/>
      <c r="K60" s="1280"/>
      <c r="L60" s="1280"/>
      <c r="M60" s="1280"/>
      <c r="N60" s="1280"/>
      <c r="O60" s="1280"/>
      <c r="P60" s="1280"/>
      <c r="Q60" s="1280"/>
    </row>
    <row r="61" spans="1:17" s="189" customFormat="1"/>
    <row r="62" spans="1:17" s="189" customFormat="1">
      <c r="A62" s="1491" t="s">
        <v>575</v>
      </c>
      <c r="B62" s="1491"/>
      <c r="C62" s="1491"/>
      <c r="D62" s="1491"/>
      <c r="E62" s="1491"/>
      <c r="F62" s="1491"/>
      <c r="G62" s="1491"/>
      <c r="H62" s="1491"/>
      <c r="I62" s="1491"/>
      <c r="J62" s="1491"/>
      <c r="K62" s="1491"/>
      <c r="L62" s="1491"/>
      <c r="M62" s="1491"/>
      <c r="N62" s="1491"/>
      <c r="O62" s="1491"/>
      <c r="P62" s="1491"/>
      <c r="Q62" s="1491"/>
    </row>
    <row r="63" spans="1:17" s="189" customFormat="1" ht="42" customHeight="1">
      <c r="A63" s="1491" t="s">
        <v>4042</v>
      </c>
      <c r="B63" s="1491"/>
      <c r="C63" s="1491" t="s">
        <v>3322</v>
      </c>
      <c r="D63" s="1491"/>
      <c r="E63" s="1491"/>
      <c r="F63" s="1491"/>
      <c r="G63" s="1491" t="s">
        <v>3132</v>
      </c>
      <c r="H63" s="1491"/>
      <c r="I63" s="1491" t="s">
        <v>4043</v>
      </c>
      <c r="J63" s="1491"/>
      <c r="K63" s="1491"/>
      <c r="L63" s="1491"/>
      <c r="M63" s="1388" t="s">
        <v>4044</v>
      </c>
      <c r="N63" s="1388"/>
      <c r="O63" s="1388"/>
      <c r="P63" s="247" t="s">
        <v>693</v>
      </c>
      <c r="Q63" s="247" t="s">
        <v>4045</v>
      </c>
    </row>
    <row r="64" spans="1:17" s="189" customFormat="1" ht="30" customHeight="1">
      <c r="A64" s="1673" t="s">
        <v>4046</v>
      </c>
      <c r="B64" s="1673"/>
      <c r="C64" s="1332" t="s">
        <v>4047</v>
      </c>
      <c r="D64" s="1332"/>
      <c r="E64" s="1332"/>
      <c r="F64" s="1332"/>
      <c r="G64" s="1716" t="s">
        <v>4048</v>
      </c>
      <c r="H64" s="1716"/>
      <c r="I64" s="1716" t="s">
        <v>369</v>
      </c>
      <c r="J64" s="1716"/>
      <c r="K64" s="1716"/>
      <c r="L64" s="1716"/>
      <c r="M64" s="1716"/>
      <c r="N64" s="1716"/>
      <c r="O64" s="1716"/>
      <c r="P64" s="2897">
        <f>1300*Belarus</f>
        <v>1300</v>
      </c>
      <c r="Q64" s="2897"/>
    </row>
    <row r="65" spans="1:17" s="189" customFormat="1" ht="12.75" customHeight="1">
      <c r="A65" s="2898" t="s">
        <v>4049</v>
      </c>
      <c r="B65" s="2898"/>
      <c r="C65" s="1332" t="s">
        <v>4050</v>
      </c>
      <c r="D65" s="1332"/>
      <c r="E65" s="1332"/>
      <c r="F65" s="1332"/>
      <c r="G65" s="1716" t="s">
        <v>4051</v>
      </c>
      <c r="H65" s="1716"/>
      <c r="I65" s="1716" t="s">
        <v>4052</v>
      </c>
      <c r="J65" s="1716"/>
      <c r="K65" s="1716"/>
      <c r="L65" s="1716"/>
      <c r="M65" s="1716" t="s">
        <v>3201</v>
      </c>
      <c r="N65" s="1716"/>
      <c r="O65" s="1716"/>
      <c r="P65" s="787">
        <f>ROUND(4.4*Belarus*(1-C84),2)</f>
        <v>4.4000000000000004</v>
      </c>
      <c r="Q65" s="864">
        <f t="shared" ref="Q65:Q73" si="0">P65*500</f>
        <v>2200</v>
      </c>
    </row>
    <row r="66" spans="1:17" s="189" customFormat="1">
      <c r="A66" s="2898"/>
      <c r="B66" s="2898"/>
      <c r="C66" s="1332"/>
      <c r="D66" s="1332"/>
      <c r="E66" s="1332"/>
      <c r="F66" s="1332"/>
      <c r="G66" s="1716" t="s">
        <v>4053</v>
      </c>
      <c r="H66" s="1716"/>
      <c r="I66" s="1716"/>
      <c r="J66" s="1716"/>
      <c r="K66" s="1716"/>
      <c r="L66" s="1716"/>
      <c r="M66" s="1716" t="s">
        <v>4054</v>
      </c>
      <c r="N66" s="1716"/>
      <c r="O66" s="1716"/>
      <c r="P66" s="787">
        <f>ROUND(5.1*Belarus*(1-C84),2)</f>
        <v>5.0999999999999996</v>
      </c>
      <c r="Q66" s="864">
        <f t="shared" si="0"/>
        <v>2550</v>
      </c>
    </row>
    <row r="67" spans="1:17" s="189" customFormat="1">
      <c r="A67" s="2898"/>
      <c r="B67" s="2898"/>
      <c r="C67" s="1332"/>
      <c r="D67" s="1332"/>
      <c r="E67" s="1332"/>
      <c r="F67" s="1332"/>
      <c r="G67" s="1716" t="s">
        <v>4055</v>
      </c>
      <c r="H67" s="1716"/>
      <c r="I67" s="1716"/>
      <c r="J67" s="1716"/>
      <c r="K67" s="1716"/>
      <c r="L67" s="1716"/>
      <c r="M67" s="1716" t="s">
        <v>4056</v>
      </c>
      <c r="N67" s="1716"/>
      <c r="O67" s="1716"/>
      <c r="P67" s="787">
        <f>ROUND(6.3*Belarus*(1-C84),2)</f>
        <v>6.3</v>
      </c>
      <c r="Q67" s="864">
        <f t="shared" si="0"/>
        <v>3150</v>
      </c>
    </row>
    <row r="68" spans="1:17" s="189" customFormat="1" ht="12.75" customHeight="1">
      <c r="A68" s="1673" t="s">
        <v>4057</v>
      </c>
      <c r="B68" s="1673"/>
      <c r="C68" s="1332" t="s">
        <v>4058</v>
      </c>
      <c r="D68" s="1332"/>
      <c r="E68" s="1332"/>
      <c r="F68" s="1332"/>
      <c r="G68" s="1716" t="s">
        <v>4051</v>
      </c>
      <c r="H68" s="1716"/>
      <c r="I68" s="1716" t="s">
        <v>4059</v>
      </c>
      <c r="J68" s="1716"/>
      <c r="K68" s="1716"/>
      <c r="L68" s="1716"/>
      <c r="M68" s="1716" t="s">
        <v>3201</v>
      </c>
      <c r="N68" s="1716"/>
      <c r="O68" s="1716"/>
      <c r="P68" s="787">
        <f>ROUND(7.5*Belarus*(1-C84),2)</f>
        <v>7.5</v>
      </c>
      <c r="Q68" s="864">
        <f t="shared" si="0"/>
        <v>3750</v>
      </c>
    </row>
    <row r="69" spans="1:17" s="189" customFormat="1">
      <c r="A69" s="1673"/>
      <c r="B69" s="1673"/>
      <c r="C69" s="1332"/>
      <c r="D69" s="1332"/>
      <c r="E69" s="1332"/>
      <c r="F69" s="1332"/>
      <c r="G69" s="1716" t="s">
        <v>4053</v>
      </c>
      <c r="H69" s="1716"/>
      <c r="I69" s="1716"/>
      <c r="J69" s="1716"/>
      <c r="K69" s="1716"/>
      <c r="L69" s="1716"/>
      <c r="M69" s="1716" t="s">
        <v>4054</v>
      </c>
      <c r="N69" s="1716"/>
      <c r="O69" s="1716"/>
      <c r="P69" s="787">
        <f>ROUND(9.1*Belarus*(1-C84),2)</f>
        <v>9.1</v>
      </c>
      <c r="Q69" s="864">
        <f t="shared" si="0"/>
        <v>4550</v>
      </c>
    </row>
    <row r="70" spans="1:17" s="189" customFormat="1">
      <c r="A70" s="1673"/>
      <c r="B70" s="1673"/>
      <c r="C70" s="1332"/>
      <c r="D70" s="1332"/>
      <c r="E70" s="1332"/>
      <c r="F70" s="1332"/>
      <c r="G70" s="1716" t="s">
        <v>4055</v>
      </c>
      <c r="H70" s="1716"/>
      <c r="I70" s="1716"/>
      <c r="J70" s="1716"/>
      <c r="K70" s="1716"/>
      <c r="L70" s="1716"/>
      <c r="M70" s="1716" t="s">
        <v>4056</v>
      </c>
      <c r="N70" s="1716"/>
      <c r="O70" s="1716"/>
      <c r="P70" s="787">
        <f>ROUND(11.2*Belarus*(1-C84),2)</f>
        <v>11.2</v>
      </c>
      <c r="Q70" s="864">
        <f t="shared" si="0"/>
        <v>5600</v>
      </c>
    </row>
    <row r="71" spans="1:17" s="189" customFormat="1" ht="12.75" customHeight="1">
      <c r="A71" s="1673" t="s">
        <v>4060</v>
      </c>
      <c r="B71" s="1673"/>
      <c r="C71" s="1332" t="s">
        <v>4061</v>
      </c>
      <c r="D71" s="1332"/>
      <c r="E71" s="1332"/>
      <c r="F71" s="1332"/>
      <c r="G71" s="1716" t="s">
        <v>4051</v>
      </c>
      <c r="H71" s="1716"/>
      <c r="I71" s="1716" t="s">
        <v>4062</v>
      </c>
      <c r="J71" s="1716"/>
      <c r="K71" s="1716"/>
      <c r="L71" s="1716"/>
      <c r="M71" s="1716" t="s">
        <v>3201</v>
      </c>
      <c r="N71" s="1716"/>
      <c r="O71" s="1716"/>
      <c r="P71" s="787">
        <f>ROUND(11*Belarus*(1-C84),2)</f>
        <v>11</v>
      </c>
      <c r="Q71" s="864">
        <f t="shared" si="0"/>
        <v>5500</v>
      </c>
    </row>
    <row r="72" spans="1:17" s="189" customFormat="1">
      <c r="A72" s="1673"/>
      <c r="B72" s="1673"/>
      <c r="C72" s="1332"/>
      <c r="D72" s="1332"/>
      <c r="E72" s="1332"/>
      <c r="F72" s="1332"/>
      <c r="G72" s="1716" t="s">
        <v>4053</v>
      </c>
      <c r="H72" s="1716"/>
      <c r="I72" s="1716"/>
      <c r="J72" s="1716"/>
      <c r="K72" s="1716"/>
      <c r="L72" s="1716"/>
      <c r="M72" s="1716" t="s">
        <v>4054</v>
      </c>
      <c r="N72" s="1716"/>
      <c r="O72" s="1716"/>
      <c r="P72" s="787">
        <f>ROUND(12.8*Belarus*(1-C84),2)</f>
        <v>12.8</v>
      </c>
      <c r="Q72" s="864">
        <f t="shared" si="0"/>
        <v>6400</v>
      </c>
    </row>
    <row r="73" spans="1:17" s="189" customFormat="1">
      <c r="A73" s="1673"/>
      <c r="B73" s="1673"/>
      <c r="C73" s="1332"/>
      <c r="D73" s="1332"/>
      <c r="E73" s="1332"/>
      <c r="F73" s="1332"/>
      <c r="G73" s="1716" t="s">
        <v>4055</v>
      </c>
      <c r="H73" s="1716"/>
      <c r="I73" s="1716"/>
      <c r="J73" s="1716"/>
      <c r="K73" s="1716"/>
      <c r="L73" s="1716"/>
      <c r="M73" s="1716" t="s">
        <v>4056</v>
      </c>
      <c r="N73" s="1716"/>
      <c r="O73" s="1716"/>
      <c r="P73" s="787">
        <f>ROUND(14.5*Belarus*(1-C84),2)</f>
        <v>14.5</v>
      </c>
      <c r="Q73" s="864">
        <f t="shared" si="0"/>
        <v>7250</v>
      </c>
    </row>
    <row r="74" spans="1:17" s="189" customFormat="1">
      <c r="A74" s="1718" t="s">
        <v>4063</v>
      </c>
      <c r="B74" s="1718"/>
      <c r="C74" s="1718"/>
      <c r="D74" s="1718"/>
      <c r="E74" s="1718"/>
      <c r="F74" s="1718"/>
      <c r="G74" s="1718"/>
      <c r="H74" s="1718"/>
      <c r="I74" s="1718"/>
      <c r="J74" s="1718"/>
      <c r="K74" s="1718"/>
      <c r="L74" s="1718"/>
      <c r="M74" s="1718"/>
      <c r="N74" s="1718"/>
      <c r="O74" s="1718"/>
      <c r="P74" s="1718"/>
      <c r="Q74" s="1718"/>
    </row>
    <row r="75" spans="1:17" s="189" customFormat="1"/>
    <row r="79" spans="1:17">
      <c r="A79" s="2881" t="s">
        <v>508</v>
      </c>
      <c r="B79" s="2881"/>
      <c r="C79" s="2881"/>
    </row>
    <row r="80" spans="1:17">
      <c r="A80" s="2899" t="s">
        <v>4064</v>
      </c>
      <c r="B80" s="2899"/>
      <c r="C80" s="590">
        <v>0</v>
      </c>
    </row>
    <row r="81" spans="1:3" hidden="1">
      <c r="A81" s="2899" t="s">
        <v>4065</v>
      </c>
      <c r="B81" s="2899"/>
      <c r="C81" s="590">
        <v>0</v>
      </c>
    </row>
    <row r="82" spans="1:3">
      <c r="A82" s="2899" t="s">
        <v>4066</v>
      </c>
      <c r="B82" s="2899"/>
      <c r="C82" s="590">
        <v>0</v>
      </c>
    </row>
    <row r="83" spans="1:3">
      <c r="A83" s="2899" t="s">
        <v>4067</v>
      </c>
      <c r="B83" s="2899"/>
      <c r="C83" s="590">
        <v>0</v>
      </c>
    </row>
    <row r="84" spans="1:3">
      <c r="A84" s="2899" t="s">
        <v>2819</v>
      </c>
      <c r="B84" s="2899"/>
      <c r="C84" s="591">
        <v>0</v>
      </c>
    </row>
  </sheetData>
  <sheetProtection selectLockedCells="1" selectUnlockedCells="1"/>
  <mergeCells count="301">
    <mergeCell ref="A82:B82"/>
    <mergeCell ref="A83:B83"/>
    <mergeCell ref="A84:B84"/>
    <mergeCell ref="G73:H73"/>
    <mergeCell ref="M73:O73"/>
    <mergeCell ref="A74:Q74"/>
    <mergeCell ref="A79:C79"/>
    <mergeCell ref="A80:B80"/>
    <mergeCell ref="A81:B81"/>
    <mergeCell ref="M69:O69"/>
    <mergeCell ref="G70:H70"/>
    <mergeCell ref="M70:O70"/>
    <mergeCell ref="A71:B73"/>
    <mergeCell ref="C71:F73"/>
    <mergeCell ref="G71:H71"/>
    <mergeCell ref="I71:L73"/>
    <mergeCell ref="M71:O71"/>
    <mergeCell ref="G72:H72"/>
    <mergeCell ref="M72:O72"/>
    <mergeCell ref="G66:H66"/>
    <mergeCell ref="M66:O66"/>
    <mergeCell ref="G67:H67"/>
    <mergeCell ref="M67:O67"/>
    <mergeCell ref="A68:B70"/>
    <mergeCell ref="C68:F70"/>
    <mergeCell ref="G68:H68"/>
    <mergeCell ref="I68:L70"/>
    <mergeCell ref="M68:O68"/>
    <mergeCell ref="G69:H69"/>
    <mergeCell ref="A64:B64"/>
    <mergeCell ref="C64:F64"/>
    <mergeCell ref="G64:H64"/>
    <mergeCell ref="I64:O64"/>
    <mergeCell ref="P64:Q64"/>
    <mergeCell ref="A65:B67"/>
    <mergeCell ref="C65:F67"/>
    <mergeCell ref="G65:H65"/>
    <mergeCell ref="I65:L67"/>
    <mergeCell ref="M65:O65"/>
    <mergeCell ref="A60:Q60"/>
    <mergeCell ref="A62:Q62"/>
    <mergeCell ref="A63:B63"/>
    <mergeCell ref="C63:F63"/>
    <mergeCell ref="G63:H63"/>
    <mergeCell ref="I63:L63"/>
    <mergeCell ref="M63:O63"/>
    <mergeCell ref="A54:Q54"/>
    <mergeCell ref="A55:Q55"/>
    <mergeCell ref="A56:Q56"/>
    <mergeCell ref="A57:Q57"/>
    <mergeCell ref="A58:Q58"/>
    <mergeCell ref="A59:Q59"/>
    <mergeCell ref="G52:G53"/>
    <mergeCell ref="H52:H53"/>
    <mergeCell ref="I52:I53"/>
    <mergeCell ref="J52:J53"/>
    <mergeCell ref="K52:K53"/>
    <mergeCell ref="L52:L53"/>
    <mergeCell ref="A52:A53"/>
    <mergeCell ref="B52:B53"/>
    <mergeCell ref="C52:C53"/>
    <mergeCell ref="D52:D53"/>
    <mergeCell ref="E52:E53"/>
    <mergeCell ref="F52:F53"/>
    <mergeCell ref="G50:G51"/>
    <mergeCell ref="H50:H51"/>
    <mergeCell ref="I50:I51"/>
    <mergeCell ref="J50:J51"/>
    <mergeCell ref="K50:K51"/>
    <mergeCell ref="L50:L51"/>
    <mergeCell ref="A50:A51"/>
    <mergeCell ref="B50:B51"/>
    <mergeCell ref="C50:C51"/>
    <mergeCell ref="D50:D51"/>
    <mergeCell ref="E50:E51"/>
    <mergeCell ref="F50:F51"/>
    <mergeCell ref="G48:G49"/>
    <mergeCell ref="H48:H49"/>
    <mergeCell ref="I48:I49"/>
    <mergeCell ref="J48:J49"/>
    <mergeCell ref="K48:K49"/>
    <mergeCell ref="L48:L49"/>
    <mergeCell ref="A48:A49"/>
    <mergeCell ref="B48:B49"/>
    <mergeCell ref="C48:C49"/>
    <mergeCell ref="D48:D49"/>
    <mergeCell ref="E48:E49"/>
    <mergeCell ref="F48:F49"/>
    <mergeCell ref="G46:G47"/>
    <mergeCell ref="H46:H47"/>
    <mergeCell ref="I46:I47"/>
    <mergeCell ref="J46:J47"/>
    <mergeCell ref="K46:K47"/>
    <mergeCell ref="L46:L47"/>
    <mergeCell ref="I44:I45"/>
    <mergeCell ref="J44:J45"/>
    <mergeCell ref="K44:K45"/>
    <mergeCell ref="L44:L45"/>
    <mergeCell ref="A46:A47"/>
    <mergeCell ref="B46:B47"/>
    <mergeCell ref="C46:C47"/>
    <mergeCell ref="D46:D47"/>
    <mergeCell ref="E46:E47"/>
    <mergeCell ref="F46:F47"/>
    <mergeCell ref="A43:M43"/>
    <mergeCell ref="N43:Q43"/>
    <mergeCell ref="A44:A45"/>
    <mergeCell ref="B44:B45"/>
    <mergeCell ref="C44:C45"/>
    <mergeCell ref="D44:D45"/>
    <mergeCell ref="E44:E45"/>
    <mergeCell ref="F44:F45"/>
    <mergeCell ref="G44:G45"/>
    <mergeCell ref="H44:H45"/>
    <mergeCell ref="G41:G42"/>
    <mergeCell ref="H41:H42"/>
    <mergeCell ref="I41:I42"/>
    <mergeCell ref="J41:J42"/>
    <mergeCell ref="K41:K42"/>
    <mergeCell ref="L41:L42"/>
    <mergeCell ref="A41:A42"/>
    <mergeCell ref="B41:B42"/>
    <mergeCell ref="C41:C42"/>
    <mergeCell ref="D41:D42"/>
    <mergeCell ref="E41:E42"/>
    <mergeCell ref="F41:F42"/>
    <mergeCell ref="H37:H38"/>
    <mergeCell ref="I37:I38"/>
    <mergeCell ref="J37:J38"/>
    <mergeCell ref="K37:K38"/>
    <mergeCell ref="L37:L38"/>
    <mergeCell ref="H39:H40"/>
    <mergeCell ref="I39:I40"/>
    <mergeCell ref="J39:J40"/>
    <mergeCell ref="K39:K40"/>
    <mergeCell ref="L39:L40"/>
    <mergeCell ref="J35:J36"/>
    <mergeCell ref="K35:K36"/>
    <mergeCell ref="L35:L36"/>
    <mergeCell ref="A37:A40"/>
    <mergeCell ref="B37:B40"/>
    <mergeCell ref="C37:C40"/>
    <mergeCell ref="D37:D40"/>
    <mergeCell ref="E37:E40"/>
    <mergeCell ref="F37:F40"/>
    <mergeCell ref="G37:G40"/>
    <mergeCell ref="L33:L34"/>
    <mergeCell ref="A35:A36"/>
    <mergeCell ref="B35:B36"/>
    <mergeCell ref="C35:C36"/>
    <mergeCell ref="D35:D36"/>
    <mergeCell ref="E35:E36"/>
    <mergeCell ref="F35:F36"/>
    <mergeCell ref="G35:G36"/>
    <mergeCell ref="H35:H36"/>
    <mergeCell ref="I35:I36"/>
    <mergeCell ref="F33:F34"/>
    <mergeCell ref="G33:G34"/>
    <mergeCell ref="H33:H34"/>
    <mergeCell ref="I33:I34"/>
    <mergeCell ref="J33:J34"/>
    <mergeCell ref="K33:K34"/>
    <mergeCell ref="H31:H32"/>
    <mergeCell ref="I31:I32"/>
    <mergeCell ref="J31:J32"/>
    <mergeCell ref="K31:K32"/>
    <mergeCell ref="L31:L32"/>
    <mergeCell ref="A33:A34"/>
    <mergeCell ref="B33:B34"/>
    <mergeCell ref="C33:C34"/>
    <mergeCell ref="D33:D34"/>
    <mergeCell ref="E33:E34"/>
    <mergeCell ref="J29:J30"/>
    <mergeCell ref="K29:K30"/>
    <mergeCell ref="L29:L30"/>
    <mergeCell ref="A31:A32"/>
    <mergeCell ref="B31:B32"/>
    <mergeCell ref="C31:C32"/>
    <mergeCell ref="D31:D32"/>
    <mergeCell ref="E31:E32"/>
    <mergeCell ref="F31:F32"/>
    <mergeCell ref="G31:G32"/>
    <mergeCell ref="L27:L28"/>
    <mergeCell ref="A29:A30"/>
    <mergeCell ref="B29:B30"/>
    <mergeCell ref="C29:C30"/>
    <mergeCell ref="D29:D30"/>
    <mergeCell ref="E29:E30"/>
    <mergeCell ref="F29:F30"/>
    <mergeCell ref="G29:G30"/>
    <mergeCell ref="H29:H30"/>
    <mergeCell ref="I29:I30"/>
    <mergeCell ref="F27:F28"/>
    <mergeCell ref="G27:G28"/>
    <mergeCell ref="H27:H28"/>
    <mergeCell ref="I27:I28"/>
    <mergeCell ref="J27:J28"/>
    <mergeCell ref="K27:K28"/>
    <mergeCell ref="H25:H26"/>
    <mergeCell ref="I25:I26"/>
    <mergeCell ref="J25:J26"/>
    <mergeCell ref="K25:K26"/>
    <mergeCell ref="L25:L26"/>
    <mergeCell ref="A27:A28"/>
    <mergeCell ref="B27:B28"/>
    <mergeCell ref="C27:C28"/>
    <mergeCell ref="D27:D28"/>
    <mergeCell ref="E27:E28"/>
    <mergeCell ref="J21:J22"/>
    <mergeCell ref="K21:K22"/>
    <mergeCell ref="L21:L22"/>
    <mergeCell ref="H23:H24"/>
    <mergeCell ref="I23:I24"/>
    <mergeCell ref="J23:J24"/>
    <mergeCell ref="K23:K24"/>
    <mergeCell ref="L23:L24"/>
    <mergeCell ref="A21:A26"/>
    <mergeCell ref="B21:B26"/>
    <mergeCell ref="C21:C26"/>
    <mergeCell ref="D21:D26"/>
    <mergeCell ref="E21:E26"/>
    <mergeCell ref="F21:F26"/>
    <mergeCell ref="G21:G26"/>
    <mergeCell ref="H21:H22"/>
    <mergeCell ref="I21:I22"/>
    <mergeCell ref="L17:L18"/>
    <mergeCell ref="H19:H20"/>
    <mergeCell ref="I19:I20"/>
    <mergeCell ref="J19:J20"/>
    <mergeCell ref="K19:K20"/>
    <mergeCell ref="L19:L20"/>
    <mergeCell ref="G15:G20"/>
    <mergeCell ref="H15:H16"/>
    <mergeCell ref="I15:I16"/>
    <mergeCell ref="J15:J16"/>
    <mergeCell ref="K15:K16"/>
    <mergeCell ref="L15:L16"/>
    <mergeCell ref="H17:H18"/>
    <mergeCell ref="I17:I18"/>
    <mergeCell ref="J17:J18"/>
    <mergeCell ref="K17:K18"/>
    <mergeCell ref="A15:A20"/>
    <mergeCell ref="B15:B20"/>
    <mergeCell ref="C15:C20"/>
    <mergeCell ref="D15:D20"/>
    <mergeCell ref="E15:E20"/>
    <mergeCell ref="F15:F20"/>
    <mergeCell ref="J11:J12"/>
    <mergeCell ref="K11:K12"/>
    <mergeCell ref="L11:L12"/>
    <mergeCell ref="H13:H14"/>
    <mergeCell ref="I13:I14"/>
    <mergeCell ref="J13:J14"/>
    <mergeCell ref="K13:K14"/>
    <mergeCell ref="L13:L14"/>
    <mergeCell ref="L9:L10"/>
    <mergeCell ref="A11:A14"/>
    <mergeCell ref="B11:B14"/>
    <mergeCell ref="C11:C14"/>
    <mergeCell ref="D11:D14"/>
    <mergeCell ref="E11:E14"/>
    <mergeCell ref="F11:F14"/>
    <mergeCell ref="G11:G14"/>
    <mergeCell ref="H11:H12"/>
    <mergeCell ref="I11:I12"/>
    <mergeCell ref="G7:G10"/>
    <mergeCell ref="H7:H8"/>
    <mergeCell ref="I7:I8"/>
    <mergeCell ref="J7:J8"/>
    <mergeCell ref="K7:K8"/>
    <mergeCell ref="L7:L8"/>
    <mergeCell ref="H9:H10"/>
    <mergeCell ref="I9:I10"/>
    <mergeCell ref="J9:J10"/>
    <mergeCell ref="K9:K10"/>
    <mergeCell ref="A7:A10"/>
    <mergeCell ref="B7:B10"/>
    <mergeCell ref="C7:C10"/>
    <mergeCell ref="D7:D10"/>
    <mergeCell ref="E7:E10"/>
    <mergeCell ref="F7:F10"/>
    <mergeCell ref="J4:J6"/>
    <mergeCell ref="K4:K6"/>
    <mergeCell ref="L4:L6"/>
    <mergeCell ref="M4:M6"/>
    <mergeCell ref="N4:Q4"/>
    <mergeCell ref="H5:H6"/>
    <mergeCell ref="N5:N6"/>
    <mergeCell ref="O5:O6"/>
    <mergeCell ref="P5:P6"/>
    <mergeCell ref="Q5:Q6"/>
    <mergeCell ref="A1:D1"/>
    <mergeCell ref="A2:M2"/>
    <mergeCell ref="A4:A6"/>
    <mergeCell ref="B4:B6"/>
    <mergeCell ref="C4:C6"/>
    <mergeCell ref="D4:D6"/>
    <mergeCell ref="E4:E6"/>
    <mergeCell ref="F4:F6"/>
    <mergeCell ref="G4:G6"/>
    <mergeCell ref="I4:I6"/>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19685039370078741" right="0.19685039370078741" top="0.47244094488188981" bottom="0" header="0" footer="0"/>
  <pageSetup paperSize="9" scale="45" firstPageNumber="0" orientation="landscape" horizontalDpi="300" verticalDpi="300" r:id="rId1"/>
  <headerFooter scaleWithDoc="0">
    <oddHeader>&amp;L&amp;G&amp;R&amp;5Центр поддержки клиентов Grand Line: +7 (495) 748-38-38 
cайт: www.grandline.ru</oddHeader>
    <oddFooter>&amp;R&amp;5Страница 47</oddFooter>
  </headerFooter>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pageSetUpPr fitToPage="1"/>
  </sheetPr>
  <dimension ref="A1:T101"/>
  <sheetViews>
    <sheetView zoomScale="70" zoomScaleNormal="70" zoomScaleSheetLayoutView="85" workbookViewId="0">
      <selection activeCell="A2" sqref="A2:M2"/>
    </sheetView>
  </sheetViews>
  <sheetFormatPr defaultColWidth="9.42578125" defaultRowHeight="12.75"/>
  <cols>
    <col min="1" max="1" width="50.5703125" style="46" customWidth="1"/>
    <col min="2" max="2" width="28" style="46" customWidth="1"/>
    <col min="3" max="3" width="5.85546875" style="46" customWidth="1"/>
    <col min="4" max="4" width="10" style="46" customWidth="1"/>
    <col min="5" max="5" width="12.42578125" style="46" customWidth="1"/>
    <col min="6" max="6" width="13" style="46" customWidth="1"/>
    <col min="7" max="10" width="12.85546875" style="46" customWidth="1"/>
    <col min="11" max="11" width="18.5703125" style="46" customWidth="1"/>
    <col min="12" max="14" width="12.28515625" style="46" customWidth="1"/>
    <col min="15" max="15" width="12" style="46" customWidth="1"/>
    <col min="16" max="16" width="10.140625" style="46" customWidth="1"/>
    <col min="17" max="17" width="10.5703125" style="46" customWidth="1"/>
    <col min="18" max="18" width="9.28515625" style="46" customWidth="1"/>
    <col min="19" max="19" width="13.5703125" style="46" customWidth="1"/>
    <col min="20" max="20" width="10.140625" style="46" customWidth="1"/>
    <col min="21" max="16384" width="9.42578125" style="46"/>
  </cols>
  <sheetData>
    <row r="1" spans="1:20" ht="13.5" customHeight="1">
      <c r="A1" s="1666" t="s">
        <v>312</v>
      </c>
      <c r="B1" s="1666"/>
      <c r="C1" s="1666"/>
      <c r="D1" s="1666"/>
    </row>
    <row r="2" spans="1:20" s="54" customFormat="1" ht="18" customHeight="1" thickBot="1">
      <c r="A2" s="1667" t="s">
        <v>621</v>
      </c>
      <c r="B2" s="1667"/>
      <c r="C2" s="1667"/>
      <c r="D2" s="1667"/>
      <c r="E2" s="1667"/>
      <c r="F2" s="1667"/>
      <c r="G2" s="1667"/>
      <c r="H2" s="1667"/>
      <c r="I2" s="1667"/>
      <c r="J2" s="1667"/>
      <c r="K2" s="1667"/>
      <c r="L2" s="1667"/>
      <c r="M2" s="1667"/>
      <c r="N2" s="1037"/>
      <c r="O2" s="736"/>
      <c r="P2" s="736"/>
      <c r="Q2" s="736"/>
      <c r="R2" s="737" t="s">
        <v>313</v>
      </c>
      <c r="S2" s="1492">
        <v>43299</v>
      </c>
      <c r="T2" s="1492"/>
    </row>
    <row r="3" spans="1:20" s="54" customFormat="1">
      <c r="A3" s="191"/>
      <c r="B3" s="191"/>
      <c r="C3" s="191"/>
      <c r="D3" s="191"/>
      <c r="E3" s="191"/>
      <c r="F3" s="191"/>
      <c r="G3" s="191"/>
      <c r="H3" s="191"/>
      <c r="I3" s="191"/>
      <c r="J3" s="191"/>
      <c r="K3" s="191"/>
      <c r="L3" s="191"/>
      <c r="M3" s="191"/>
      <c r="N3" s="191"/>
      <c r="O3" s="191"/>
      <c r="P3" s="191"/>
      <c r="Q3" s="191"/>
      <c r="R3" s="192" t="s">
        <v>315</v>
      </c>
      <c r="S3" s="1668">
        <v>43299</v>
      </c>
      <c r="T3" s="1668"/>
    </row>
    <row r="4" spans="1:20" s="54" customFormat="1" ht="12.75" customHeight="1">
      <c r="A4" s="1459" t="s">
        <v>316</v>
      </c>
      <c r="B4" s="1459" t="s">
        <v>526</v>
      </c>
      <c r="C4" s="1657" t="s">
        <v>622</v>
      </c>
      <c r="D4" s="1657" t="s">
        <v>623</v>
      </c>
      <c r="E4" s="1452" t="s">
        <v>624</v>
      </c>
      <c r="F4" s="1477"/>
      <c r="G4" s="1477"/>
      <c r="H4" s="1477"/>
      <c r="I4" s="1477"/>
      <c r="J4" s="1477"/>
      <c r="K4" s="1477"/>
      <c r="L4" s="1477"/>
      <c r="M4" s="1477"/>
      <c r="N4" s="1477"/>
      <c r="O4" s="1477"/>
      <c r="P4" s="1477"/>
      <c r="Q4" s="1477"/>
      <c r="R4" s="1477"/>
      <c r="S4" s="1477"/>
      <c r="T4" s="1478"/>
    </row>
    <row r="5" spans="1:20" s="54" customFormat="1" ht="12.75" customHeight="1">
      <c r="A5" s="1460"/>
      <c r="B5" s="1460"/>
      <c r="C5" s="1658"/>
      <c r="D5" s="1658"/>
      <c r="E5" s="1539" t="s">
        <v>320</v>
      </c>
      <c r="F5" s="1539"/>
      <c r="G5" s="1479" t="s">
        <v>321</v>
      </c>
      <c r="H5" s="1517"/>
      <c r="I5" s="1517"/>
      <c r="J5" s="1517"/>
      <c r="K5" s="1659" t="s">
        <v>322</v>
      </c>
      <c r="L5" s="1659" t="s">
        <v>625</v>
      </c>
      <c r="M5" s="1659" t="s">
        <v>620</v>
      </c>
      <c r="N5" s="1659" t="s">
        <v>5380</v>
      </c>
      <c r="O5" s="1477" t="s">
        <v>324</v>
      </c>
      <c r="P5" s="1478"/>
      <c r="Q5" s="1465" t="s">
        <v>325</v>
      </c>
      <c r="R5" s="1466"/>
      <c r="S5" s="1466"/>
      <c r="T5" s="1467"/>
    </row>
    <row r="6" spans="1:20" s="54" customFormat="1" ht="25.5">
      <c r="A6" s="1460"/>
      <c r="B6" s="1460"/>
      <c r="C6" s="1658"/>
      <c r="D6" s="1658"/>
      <c r="E6" s="58" t="s">
        <v>626</v>
      </c>
      <c r="F6" s="58" t="s">
        <v>329</v>
      </c>
      <c r="G6" s="60" t="s">
        <v>330</v>
      </c>
      <c r="H6" s="62" t="s">
        <v>331</v>
      </c>
      <c r="I6" s="62" t="s">
        <v>332</v>
      </c>
      <c r="J6" s="173" t="s">
        <v>333</v>
      </c>
      <c r="K6" s="1660"/>
      <c r="L6" s="1660"/>
      <c r="M6" s="1660"/>
      <c r="N6" s="1660"/>
      <c r="O6" s="155" t="s">
        <v>334</v>
      </c>
      <c r="P6" s="62" t="s">
        <v>335</v>
      </c>
      <c r="Q6" s="1465" t="s">
        <v>289</v>
      </c>
      <c r="R6" s="1466"/>
      <c r="S6" s="1466"/>
      <c r="T6" s="1467"/>
    </row>
    <row r="7" spans="1:20" s="54" customFormat="1" ht="12.75" customHeight="1">
      <c r="A7" s="1648" t="s">
        <v>340</v>
      </c>
      <c r="B7" s="1649"/>
      <c r="C7" s="1649"/>
      <c r="D7" s="1650"/>
      <c r="E7" s="193" t="s">
        <v>341</v>
      </c>
      <c r="F7" s="193" t="s">
        <v>6846</v>
      </c>
      <c r="G7" s="57" t="s">
        <v>342</v>
      </c>
      <c r="H7" s="57" t="s">
        <v>342</v>
      </c>
      <c r="I7" s="57" t="s">
        <v>342</v>
      </c>
      <c r="J7" s="57" t="s">
        <v>342</v>
      </c>
      <c r="K7" s="193" t="s">
        <v>343</v>
      </c>
      <c r="L7" s="193" t="s">
        <v>341</v>
      </c>
      <c r="M7" s="193" t="s">
        <v>341</v>
      </c>
      <c r="N7" s="193" t="s">
        <v>5377</v>
      </c>
      <c r="O7" s="99" t="s">
        <v>345</v>
      </c>
      <c r="P7" s="99" t="s">
        <v>345</v>
      </c>
      <c r="Q7" s="1651" t="s">
        <v>346</v>
      </c>
      <c r="R7" s="1652"/>
      <c r="S7" s="1652"/>
      <c r="T7" s="1653"/>
    </row>
    <row r="8" spans="1:20" s="54" customFormat="1" ht="15" customHeight="1">
      <c r="A8" s="1654" t="s">
        <v>529</v>
      </c>
      <c r="B8" s="1655"/>
      <c r="C8" s="1655"/>
      <c r="D8" s="1656"/>
      <c r="E8" s="195" t="s">
        <v>350</v>
      </c>
      <c r="F8" s="195" t="s">
        <v>350</v>
      </c>
      <c r="G8" s="77" t="s">
        <v>531</v>
      </c>
      <c r="H8" s="77" t="s">
        <v>532</v>
      </c>
      <c r="I8" s="77" t="s">
        <v>533</v>
      </c>
      <c r="J8" s="77" t="s">
        <v>532</v>
      </c>
      <c r="K8" s="195" t="s">
        <v>354</v>
      </c>
      <c r="L8" s="195" t="s">
        <v>355</v>
      </c>
      <c r="M8" s="195" t="s">
        <v>356</v>
      </c>
      <c r="N8" s="195" t="s">
        <v>5378</v>
      </c>
      <c r="O8" s="79" t="s">
        <v>357</v>
      </c>
      <c r="P8" s="79" t="s">
        <v>532</v>
      </c>
      <c r="Q8" s="808" t="s">
        <v>627</v>
      </c>
      <c r="R8" s="1476">
        <v>0.45</v>
      </c>
      <c r="S8" s="1476"/>
      <c r="T8" s="808">
        <v>0.4</v>
      </c>
    </row>
    <row r="9" spans="1:20" s="54" customFormat="1">
      <c r="A9" s="793" t="s">
        <v>397</v>
      </c>
      <c r="B9" s="794"/>
      <c r="C9" s="794"/>
      <c r="D9" s="794"/>
      <c r="E9" s="794"/>
      <c r="F9" s="794"/>
      <c r="G9" s="794"/>
      <c r="H9" s="794"/>
      <c r="I9" s="794"/>
      <c r="J9" s="794"/>
      <c r="K9" s="794"/>
      <c r="L9" s="794"/>
      <c r="M9" s="794"/>
      <c r="N9" s="794"/>
      <c r="O9" s="794"/>
      <c r="P9" s="794"/>
      <c r="Q9" s="794"/>
      <c r="R9" s="794"/>
      <c r="S9" s="794"/>
      <c r="T9" s="795"/>
    </row>
    <row r="10" spans="1:20" s="54" customFormat="1" ht="27" customHeight="1">
      <c r="A10" s="102" t="s">
        <v>6661</v>
      </c>
      <c r="B10" s="196" t="s">
        <v>3717</v>
      </c>
      <c r="C10" s="197" t="s">
        <v>628</v>
      </c>
      <c r="D10" s="197" t="s">
        <v>369</v>
      </c>
      <c r="E10" s="103">
        <f>ROUND(List_Pt*Belarus*(1-E97),2)</f>
        <v>575</v>
      </c>
      <c r="F10" s="103">
        <f>ROUND(List_Sf*Belarus*(1-E97),2)</f>
        <v>602</v>
      </c>
      <c r="G10" s="1128">
        <f>ROUND(List_Q*Belarus*(1-E97),2)</f>
        <v>645</v>
      </c>
      <c r="H10" s="162">
        <f>ROUND(List_Ql*Belarus*(1-E97),2)</f>
        <v>537</v>
      </c>
      <c r="I10" s="162" t="str">
        <f>ROUND(List_Vel*Belarus*(1-E97),2)&amp;" (3)"</f>
        <v>526 (3)</v>
      </c>
      <c r="J10" s="162">
        <f>ROUND(List_Atl*Belarus*(1-E97),2)</f>
        <v>505</v>
      </c>
      <c r="K10" s="163">
        <f>ROUND(List_Pur*Belarus*(1-K97),2)</f>
        <v>760</v>
      </c>
      <c r="L10" s="163">
        <f>ROUND(List_Pdx*Belarus*(1-L97),2)</f>
        <v>476</v>
      </c>
      <c r="M10" s="163">
        <f>ROUND(List_Pdxmatt*Belarus*(1-M97),2)</f>
        <v>486</v>
      </c>
      <c r="N10" s="163">
        <f>ROUND(List_StBarhat*Belarus*(1-N97),2)</f>
        <v>452</v>
      </c>
      <c r="O10" s="162">
        <f>ROUND(List_Dr*Belarus*(1-O97),2)</f>
        <v>397</v>
      </c>
      <c r="P10" s="162">
        <f>ROUND(List_Sat*Belarus*(1-P97),2)</f>
        <v>376</v>
      </c>
      <c r="Q10" s="87" t="str">
        <f>(ROUND(List_Pe065*Belarus*(1-Q97),2))&amp; " - "&amp;ROUND(List_Pe07*Belarus*(1-Q97),2)</f>
        <v>481 - 508</v>
      </c>
      <c r="R10" s="101">
        <f>ROUND(List_Pe045*Belarus*(1-R97),2)</f>
        <v>338</v>
      </c>
      <c r="S10" s="198" t="str">
        <f>ROUND((List_Pe045+18)*Belarus*(1-R97),2)&amp;" (RAL2004, RAL1018)"</f>
        <v>356 (RAL2004, RAL1018)</v>
      </c>
      <c r="T10" s="103">
        <f>ROUND(List_Pe04*Belarus*(1-T97),2)</f>
        <v>310</v>
      </c>
    </row>
    <row r="11" spans="1:20">
      <c r="A11" s="793" t="s">
        <v>629</v>
      </c>
      <c r="B11" s="794"/>
      <c r="C11" s="794"/>
      <c r="D11" s="794"/>
      <c r="E11" s="794"/>
      <c r="F11" s="794"/>
      <c r="G11" s="794"/>
      <c r="H11" s="794"/>
      <c r="I11" s="794"/>
      <c r="J11" s="794"/>
      <c r="K11" s="794"/>
      <c r="L11" s="794"/>
      <c r="M11" s="794"/>
      <c r="N11" s="794"/>
      <c r="O11" s="794"/>
      <c r="P11" s="794"/>
      <c r="Q11" s="794"/>
      <c r="R11" s="794"/>
      <c r="S11" s="794"/>
      <c r="T11" s="795"/>
    </row>
    <row r="12" spans="1:20" ht="12.75" customHeight="1">
      <c r="A12" s="199" t="s">
        <v>630</v>
      </c>
      <c r="B12" s="200"/>
      <c r="C12" s="169" t="s">
        <v>631</v>
      </c>
      <c r="D12" s="169">
        <v>416</v>
      </c>
      <c r="E12" s="87" t="str">
        <f>ROUND(529*Belarus*(1-E98),2)&amp;" "</f>
        <v xml:space="preserve">529 </v>
      </c>
      <c r="F12" s="87" t="str">
        <f>ROUND(553*Belarus*(1-E98),2)&amp;" "</f>
        <v xml:space="preserve">553 </v>
      </c>
      <c r="G12" s="721" t="str">
        <f>ROUND(638*Belarus*(1-E98),2)&amp;" "</f>
        <v xml:space="preserve">638 </v>
      </c>
      <c r="H12" s="90" t="str">
        <f>ROUND(529*Belarus*(1-E98),2)&amp;" "</f>
        <v xml:space="preserve">529 </v>
      </c>
      <c r="I12" s="90" t="str">
        <f>ROUND(506*Belarus*(1-E98),2)&amp;" "</f>
        <v xml:space="preserve">506 </v>
      </c>
      <c r="J12" s="90" t="str">
        <f>ROUND(450*Belarus*(1-E98),2)&amp;" "</f>
        <v xml:space="preserve">450 </v>
      </c>
      <c r="K12" s="87" t="str">
        <f>ROUND(780*Belarus*(1-E98),2)&amp;" "</f>
        <v xml:space="preserve">780 </v>
      </c>
      <c r="L12" s="87" t="str">
        <f>ROUND(485*Belarus*(1-E98),2)&amp;" "</f>
        <v xml:space="preserve">485 </v>
      </c>
      <c r="M12" s="88" t="str">
        <f>ROUND(496*Belarus*(1-E98),2)&amp;" "</f>
        <v xml:space="preserve">496 </v>
      </c>
      <c r="N12" s="88">
        <f>ROUND(467*Belarus*(1-E98),2)</f>
        <v>467</v>
      </c>
      <c r="O12" s="721" t="str">
        <f>ROUND(454*Belarus*(1-O98),2)&amp;" "</f>
        <v xml:space="preserve">454 </v>
      </c>
      <c r="P12" s="90" t="str">
        <f>ROUND(426*Belarus*(1-P98),2)&amp;" "</f>
        <v xml:space="preserve">426 </v>
      </c>
      <c r="Q12" s="87">
        <f>ROUND(634*Belarus*(1-Q98),2)</f>
        <v>634</v>
      </c>
      <c r="R12" s="1514" t="str">
        <f>ROUND(426*Belarus*(1-R98),2)&amp;" "</f>
        <v xml:space="preserve">426 </v>
      </c>
      <c r="S12" s="1515"/>
      <c r="T12" s="1516"/>
    </row>
    <row r="13" spans="1:20" ht="12.75" customHeight="1">
      <c r="A13" s="201" t="s">
        <v>632</v>
      </c>
      <c r="B13" s="202"/>
      <c r="C13" s="169" t="s">
        <v>631</v>
      </c>
      <c r="D13" s="169">
        <v>312</v>
      </c>
      <c r="E13" s="87">
        <f>ROUND(409*Belarus*(1-E98),2)</f>
        <v>409</v>
      </c>
      <c r="F13" s="87">
        <f>ROUND(428*Belarus*(1-E98),2)</f>
        <v>428</v>
      </c>
      <c r="G13" s="721">
        <f>ROUND(460*Belarus*(1-E98),2)</f>
        <v>460</v>
      </c>
      <c r="H13" s="90">
        <f>ROUND(382*Belarus*(1-E98),2)</f>
        <v>382</v>
      </c>
      <c r="I13" s="90">
        <f>ROUND(365*Belarus*(1-E98),2)</f>
        <v>365</v>
      </c>
      <c r="J13" s="90">
        <f>ROUND(348*Belarus*(1-E98),2)</f>
        <v>348</v>
      </c>
      <c r="K13" s="87">
        <f>ROUND(602*Belarus*(1-E98),2)</f>
        <v>602</v>
      </c>
      <c r="L13" s="87">
        <f>ROUND(354*Belarus*(1-E98),2)</f>
        <v>354</v>
      </c>
      <c r="M13" s="88">
        <f>ROUND(362*Belarus*(1-E98),2)</f>
        <v>362</v>
      </c>
      <c r="N13" s="88">
        <f>ROUND(354*Belarus*(1-E98),2)</f>
        <v>354</v>
      </c>
      <c r="O13" s="721">
        <f>ROUND(327*Belarus*(1-O98),2)</f>
        <v>327</v>
      </c>
      <c r="P13" s="90">
        <f>ROUND(308*Belarus*(1-P98),2)</f>
        <v>308</v>
      </c>
      <c r="Q13" s="87">
        <f>ROUND(456*Belarus*(1-Q98),2)</f>
        <v>456</v>
      </c>
      <c r="R13" s="1514">
        <f>ROUND(308*Belarus*(1-R98),2)</f>
        <v>308</v>
      </c>
      <c r="S13" s="1515"/>
      <c r="T13" s="1516"/>
    </row>
    <row r="14" spans="1:20" ht="12.75" customHeight="1">
      <c r="A14" s="1647" t="s">
        <v>633</v>
      </c>
      <c r="B14" s="203" t="s">
        <v>634</v>
      </c>
      <c r="C14" s="169" t="s">
        <v>631</v>
      </c>
      <c r="D14" s="169">
        <v>312</v>
      </c>
      <c r="E14" s="87">
        <f>ROUND(409*Belarus*(1-E98),2)</f>
        <v>409</v>
      </c>
      <c r="F14" s="87">
        <f>ROUND(428*Belarus*(1-E98),2)</f>
        <v>428</v>
      </c>
      <c r="G14" s="721">
        <f>ROUND(460*Belarus*(1-E98),2)</f>
        <v>460</v>
      </c>
      <c r="H14" s="90">
        <f>ROUND(382*Belarus*(1-E98),2)</f>
        <v>382</v>
      </c>
      <c r="I14" s="90">
        <f>ROUND(365*Belarus*(1-E98),2)</f>
        <v>365</v>
      </c>
      <c r="J14" s="90">
        <f>ROUND(348*Belarus*(1-E98),2)</f>
        <v>348</v>
      </c>
      <c r="K14" s="87">
        <f>ROUND(602*Belarus*(1-E98),2)</f>
        <v>602</v>
      </c>
      <c r="L14" s="87">
        <f>ROUND(354*Belarus*(1-E98),2)</f>
        <v>354</v>
      </c>
      <c r="M14" s="88">
        <f>ROUND(362*Belarus*(1-E98),2)</f>
        <v>362</v>
      </c>
      <c r="N14" s="88">
        <f>ROUND(354*Belarus*(1-E98),2)</f>
        <v>354</v>
      </c>
      <c r="O14" s="721">
        <f>ROUND(327*Belarus*(1-O98),2)</f>
        <v>327</v>
      </c>
      <c r="P14" s="90">
        <f>ROUND(308*Belarus*(1-P98),2)</f>
        <v>308</v>
      </c>
      <c r="Q14" s="87">
        <f>ROUND(456*Belarus*(1-Q98),2)</f>
        <v>456</v>
      </c>
      <c r="R14" s="1514">
        <f>ROUND(308*Belarus*(1-R98),2)</f>
        <v>308</v>
      </c>
      <c r="S14" s="1515"/>
      <c r="T14" s="1516"/>
    </row>
    <row r="15" spans="1:20" ht="12.75" customHeight="1">
      <c r="A15" s="1645"/>
      <c r="B15" s="204" t="s">
        <v>635</v>
      </c>
      <c r="C15" s="169" t="s">
        <v>631</v>
      </c>
      <c r="D15" s="169">
        <v>312</v>
      </c>
      <c r="E15" s="87">
        <f>ROUND(409*Belarus*(1-E98),2)</f>
        <v>409</v>
      </c>
      <c r="F15" s="87">
        <f>ROUND(428*Belarus*(1-E98),2)</f>
        <v>428</v>
      </c>
      <c r="G15" s="721">
        <f>ROUND(460*Belarus*(1-E98),2)</f>
        <v>460</v>
      </c>
      <c r="H15" s="90">
        <f>ROUND(382*Belarus*(1-E98),2)</f>
        <v>382</v>
      </c>
      <c r="I15" s="90">
        <f>ROUND(365*Belarus*(1-E98),2)</f>
        <v>365</v>
      </c>
      <c r="J15" s="90">
        <f>ROUND(348*Belarus*(1-E98),2)</f>
        <v>348</v>
      </c>
      <c r="K15" s="87">
        <f>ROUND(602*Belarus*(1-E98),2)</f>
        <v>602</v>
      </c>
      <c r="L15" s="87">
        <f>ROUND(354*Belarus*(1-E98),2)</f>
        <v>354</v>
      </c>
      <c r="M15" s="88">
        <f>ROUND(362*Belarus*(1-E98),2)</f>
        <v>362</v>
      </c>
      <c r="N15" s="88">
        <f>ROUND(354*Belarus*(1-E98),2)</f>
        <v>354</v>
      </c>
      <c r="O15" s="721">
        <f>ROUND(327*Belarus*(1-O98),2)</f>
        <v>327</v>
      </c>
      <c r="P15" s="90">
        <f>ROUND(308*Belarus*(1-P98),2)</f>
        <v>308</v>
      </c>
      <c r="Q15" s="87">
        <f>ROUND(456*Belarus*(1-Q98),2)</f>
        <v>456</v>
      </c>
      <c r="R15" s="1514">
        <f>ROUND(308*Belarus*(1-R98),2)</f>
        <v>308</v>
      </c>
      <c r="S15" s="1515"/>
      <c r="T15" s="1516"/>
    </row>
    <row r="16" spans="1:20" ht="12.75" customHeight="1">
      <c r="A16" s="1645"/>
      <c r="B16" s="204" t="s">
        <v>636</v>
      </c>
      <c r="C16" s="169" t="s">
        <v>631</v>
      </c>
      <c r="D16" s="169">
        <v>416</v>
      </c>
      <c r="E16" s="87">
        <f>ROUND(540*Belarus*(1-E98),2)</f>
        <v>540</v>
      </c>
      <c r="F16" s="87">
        <f>ROUND(564*Belarus*(1-E98),2)</f>
        <v>564</v>
      </c>
      <c r="G16" s="721">
        <f>ROUND(608*Belarus*(1-E98),2)</f>
        <v>608</v>
      </c>
      <c r="H16" s="90">
        <f>ROUND(504*Belarus*(1-E98),2)</f>
        <v>504</v>
      </c>
      <c r="I16" s="90">
        <f>ROUND(482*Belarus*(1-E98),2)</f>
        <v>482</v>
      </c>
      <c r="J16" s="90">
        <f>ROUND(460*Belarus*(1-E98),2)</f>
        <v>460</v>
      </c>
      <c r="K16" s="87">
        <f>ROUND(798*Belarus*(1-E98),2)</f>
        <v>798</v>
      </c>
      <c r="L16" s="87">
        <f>ROUND(468*Belarus*(1-E98),2)</f>
        <v>468</v>
      </c>
      <c r="M16" s="88" t="str">
        <f>ROUND(480*Belarus*(1-E98),2)&amp;" "</f>
        <v xml:space="preserve">480 </v>
      </c>
      <c r="N16" s="88">
        <f>ROUND(467*Belarus*(1-E98),2)</f>
        <v>467</v>
      </c>
      <c r="O16" s="721">
        <f>ROUND(432*Belarus*(1-O98),2)</f>
        <v>432</v>
      </c>
      <c r="P16" s="90">
        <f>ROUND(406*Belarus*(1-P98),2)</f>
        <v>406</v>
      </c>
      <c r="Q16" s="87">
        <f>ROUND(604*Belarus*(1-Q98),2)</f>
        <v>604</v>
      </c>
      <c r="R16" s="1514">
        <f>ROUND(406*Belarus*(1-R98),2)</f>
        <v>406</v>
      </c>
      <c r="S16" s="1515"/>
      <c r="T16" s="1516"/>
    </row>
    <row r="17" spans="1:20" ht="12.75" customHeight="1">
      <c r="A17" s="1646"/>
      <c r="B17" s="204" t="s">
        <v>637</v>
      </c>
      <c r="C17" s="169" t="s">
        <v>631</v>
      </c>
      <c r="D17" s="169">
        <v>416</v>
      </c>
      <c r="E17" s="87">
        <f>ROUND(540*Belarus*(1-E98),2)</f>
        <v>540</v>
      </c>
      <c r="F17" s="87">
        <f>ROUND(564*Belarus*(1-E98),2)</f>
        <v>564</v>
      </c>
      <c r="G17" s="721">
        <f>ROUND(608*Belarus*(1-E98),2)</f>
        <v>608</v>
      </c>
      <c r="H17" s="90">
        <f>ROUND(504*Belarus*(1-E98),2)</f>
        <v>504</v>
      </c>
      <c r="I17" s="90">
        <f>ROUND(482*Belarus*(1-E98),2)</f>
        <v>482</v>
      </c>
      <c r="J17" s="90">
        <f>ROUND(460*Belarus*(1-E98),2)</f>
        <v>460</v>
      </c>
      <c r="K17" s="87">
        <f>ROUND(798*Belarus*(1-E98),2)</f>
        <v>798</v>
      </c>
      <c r="L17" s="87">
        <f>ROUND(468*Belarus*(1-E98),2)</f>
        <v>468</v>
      </c>
      <c r="M17" s="88" t="str">
        <f>ROUND(480*Belarus*(1-E98),2)&amp;" "</f>
        <v xml:space="preserve">480 </v>
      </c>
      <c r="N17" s="88">
        <f>ROUND(467*Belarus*(1-E98),2)</f>
        <v>467</v>
      </c>
      <c r="O17" s="721">
        <f>ROUND(432*Belarus*(1-O98),2)</f>
        <v>432</v>
      </c>
      <c r="P17" s="90">
        <f>ROUND(406*Belarus*(1-P98),2)</f>
        <v>406</v>
      </c>
      <c r="Q17" s="87">
        <f>ROUND(604*Belarus*(1-Q98),2)</f>
        <v>604</v>
      </c>
      <c r="R17" s="1514">
        <f>ROUND(406*Belarus*(1-R98),2)</f>
        <v>406</v>
      </c>
      <c r="S17" s="1515"/>
      <c r="T17" s="1516"/>
    </row>
    <row r="18" spans="1:20" ht="12.75" customHeight="1">
      <c r="A18" s="1616" t="s">
        <v>638</v>
      </c>
      <c r="B18" s="1642"/>
      <c r="C18" s="169" t="s">
        <v>631</v>
      </c>
      <c r="D18" s="169">
        <v>380</v>
      </c>
      <c r="E18" s="87">
        <f>ROUND(540*Belarus*(1-E98),2)</f>
        <v>540</v>
      </c>
      <c r="F18" s="87">
        <f>ROUND(564*Belarus*(1-E98),2)</f>
        <v>564</v>
      </c>
      <c r="G18" s="721">
        <f>ROUND(608*Belarus*(1-E98),2)</f>
        <v>608</v>
      </c>
      <c r="H18" s="90">
        <f>ROUND(504*Belarus*(1-E98),2)</f>
        <v>504</v>
      </c>
      <c r="I18" s="90">
        <f>ROUND(482*Belarus*(1-E98),2)</f>
        <v>482</v>
      </c>
      <c r="J18" s="90">
        <f>ROUND(460*Belarus*(1-E98),2)</f>
        <v>460</v>
      </c>
      <c r="K18" s="87">
        <f>ROUND(798*Belarus*(1-E98),2)</f>
        <v>798</v>
      </c>
      <c r="L18" s="87">
        <f>ROUND(468*Belarus*(1-E98),2)</f>
        <v>468</v>
      </c>
      <c r="M18" s="88">
        <f>ROUND(478*Belarus*(1-E98),2)</f>
        <v>478</v>
      </c>
      <c r="N18" s="88">
        <f>ROUND(467*Belarus*(1-E98),2)</f>
        <v>467</v>
      </c>
      <c r="O18" s="721">
        <f>ROUND(432*Belarus*(1-O98),2)</f>
        <v>432</v>
      </c>
      <c r="P18" s="90">
        <f>ROUND(406*Belarus*(1-P98),2)</f>
        <v>406</v>
      </c>
      <c r="Q18" s="87">
        <f>ROUND(604*Belarus*(1-Q98),2)</f>
        <v>604</v>
      </c>
      <c r="R18" s="1514">
        <f>ROUND(406*Belarus*(1-R98),2)</f>
        <v>406</v>
      </c>
      <c r="S18" s="1515"/>
      <c r="T18" s="1516"/>
    </row>
    <row r="19" spans="1:20" ht="12.75" customHeight="1">
      <c r="A19" s="1616" t="s">
        <v>639</v>
      </c>
      <c r="B19" s="1642"/>
      <c r="C19" s="169" t="s">
        <v>640</v>
      </c>
      <c r="D19" s="169" t="s">
        <v>369</v>
      </c>
      <c r="E19" s="87">
        <f>ROUND(299*Belarus*(1-E98),2)</f>
        <v>299</v>
      </c>
      <c r="F19" s="87">
        <f>ROUND(304*Belarus*(1-E98),2)</f>
        <v>304</v>
      </c>
      <c r="G19" s="721" t="str">
        <f>ROUND(311*Belarus*(1-E98),2)&amp;" (2)"</f>
        <v>311 (2)</v>
      </c>
      <c r="H19" s="90">
        <f>ROUND(293*Belarus*(1-E98),2)</f>
        <v>293</v>
      </c>
      <c r="I19" s="90">
        <f>ROUND(289*Belarus*(1-E98),2)</f>
        <v>289</v>
      </c>
      <c r="J19" s="90">
        <f>ROUND(286*Belarus*(1-E98),2)</f>
        <v>286</v>
      </c>
      <c r="K19" s="87" t="s">
        <v>369</v>
      </c>
      <c r="L19" s="87" t="str">
        <f>ROUND(287*Belarus*(1-E98),2)&amp;" (2)"</f>
        <v>287 (2)</v>
      </c>
      <c r="M19" s="206" t="str">
        <f>ROUND(289*Belarus*(1-E98),2)&amp;" (2)"</f>
        <v>289 (2)</v>
      </c>
      <c r="N19" s="206" t="s">
        <v>369</v>
      </c>
      <c r="O19" s="721" t="str">
        <f>ROUND(281*Belarus*(1-O98),2)&amp;" (2)"</f>
        <v>281 (2)</v>
      </c>
      <c r="P19" s="90" t="s">
        <v>369</v>
      </c>
      <c r="Q19" s="87">
        <f>ROUND(310*Belarus*(1-Q98),2)</f>
        <v>310</v>
      </c>
      <c r="R19" s="1514">
        <f>ROUND(276*Belarus*(1-R98),2)</f>
        <v>276</v>
      </c>
      <c r="S19" s="1515"/>
      <c r="T19" s="1516"/>
    </row>
    <row r="20" spans="1:20" ht="12.75" customHeight="1">
      <c r="A20" s="1616" t="s">
        <v>641</v>
      </c>
      <c r="B20" s="1642"/>
      <c r="C20" s="169" t="s">
        <v>640</v>
      </c>
      <c r="D20" s="169" t="s">
        <v>369</v>
      </c>
      <c r="E20" s="87">
        <f>ROUND(680*Belarus*(1-E98),2)</f>
        <v>680</v>
      </c>
      <c r="F20" s="87">
        <f>ROUND(689*Belarus*(1-E98),2)</f>
        <v>689</v>
      </c>
      <c r="G20" s="721" t="str">
        <f>ROUND(706*Belarus*(1-E98),2)&amp;" (2)"</f>
        <v>706 (2)</v>
      </c>
      <c r="H20" s="90">
        <f>ROUND(665*Belarus*(1-E98),2)</f>
        <v>665</v>
      </c>
      <c r="I20" s="90">
        <f>ROUND(656*Belarus*(1-E98),2)</f>
        <v>656</v>
      </c>
      <c r="J20" s="90">
        <f>ROUND(648*Belarus*(1-E98),2)</f>
        <v>648</v>
      </c>
      <c r="K20" s="87" t="s">
        <v>369</v>
      </c>
      <c r="L20" s="87" t="str">
        <f>ROUND(651*Belarus*(1-E98),2)&amp;" (2)"</f>
        <v>651 (2)</v>
      </c>
      <c r="M20" s="206" t="str">
        <f>ROUND(655*Belarus*(1-E98),2)&amp;" (2)"</f>
        <v>655 (2)</v>
      </c>
      <c r="N20" s="206" t="s">
        <v>369</v>
      </c>
      <c r="O20" s="721" t="str">
        <f>ROUND(636*Belarus*(1-O98),2)&amp;" (2)"</f>
        <v>636 (2)</v>
      </c>
      <c r="P20" s="90" t="s">
        <v>369</v>
      </c>
      <c r="Q20" s="87">
        <f>ROUND(705*Belarus*(1-Q98),2)</f>
        <v>705</v>
      </c>
      <c r="R20" s="1514">
        <f>ROUND(626*Belarus*(1-R98),2)</f>
        <v>626</v>
      </c>
      <c r="S20" s="1515"/>
      <c r="T20" s="1516"/>
    </row>
    <row r="21" spans="1:20" ht="12.75" customHeight="1">
      <c r="A21" s="1616" t="s">
        <v>642</v>
      </c>
      <c r="B21" s="1642"/>
      <c r="C21" s="169" t="s">
        <v>640</v>
      </c>
      <c r="D21" s="169" t="s">
        <v>369</v>
      </c>
      <c r="E21" s="87">
        <f>ROUND(248*Belarus*(1-E98),2)</f>
        <v>248</v>
      </c>
      <c r="F21" s="87">
        <f>ROUND(252*Belarus*(1-E98),2)</f>
        <v>252</v>
      </c>
      <c r="G21" s="721" t="str">
        <f>ROUND(258*Belarus*(1-E98),2)&amp;" (2)"</f>
        <v>258 (2)</v>
      </c>
      <c r="H21" s="90">
        <f>ROUND(243*Belarus*(1-E98),2)</f>
        <v>243</v>
      </c>
      <c r="I21" s="90">
        <f>ROUND(240*Belarus*(1-E98),2)</f>
        <v>240</v>
      </c>
      <c r="J21" s="90">
        <f>ROUND(236*Belarus*(1-E98),2)</f>
        <v>236</v>
      </c>
      <c r="K21" s="87" t="s">
        <v>369</v>
      </c>
      <c r="L21" s="87" t="str">
        <f>ROUND(238*Belarus*(1-E98),2)&amp;" (2)"</f>
        <v>238 (2)</v>
      </c>
      <c r="M21" s="206" t="str">
        <f>ROUND(239*Belarus*(1-E98),2)&amp;" (2)"</f>
        <v>239 (2)</v>
      </c>
      <c r="N21" s="206" t="s">
        <v>369</v>
      </c>
      <c r="O21" s="721" t="str">
        <f>ROUND(232*Belarus*(1-O98),2)&amp;" (2)"</f>
        <v>232 (2)</v>
      </c>
      <c r="P21" s="90" t="s">
        <v>369</v>
      </c>
      <c r="Q21" s="87">
        <f>ROUND(258*Belarus*(1-Q98),2)</f>
        <v>258</v>
      </c>
      <c r="R21" s="1514">
        <f>ROUND(228*Belarus*(1-R98),2)</f>
        <v>228</v>
      </c>
      <c r="S21" s="1515"/>
      <c r="T21" s="1516"/>
    </row>
    <row r="22" spans="1:20" ht="12.75" customHeight="1">
      <c r="A22" s="1616" t="s">
        <v>643</v>
      </c>
      <c r="B22" s="1642"/>
      <c r="C22" s="169" t="s">
        <v>640</v>
      </c>
      <c r="D22" s="169" t="s">
        <v>369</v>
      </c>
      <c r="E22" s="87">
        <f>ROUND(554*Belarus*(1-E98),2)</f>
        <v>554</v>
      </c>
      <c r="F22" s="87">
        <f>ROUND(561*Belarus*(1-E98),2)</f>
        <v>561</v>
      </c>
      <c r="G22" s="721" t="str">
        <f>ROUND(574*Belarus*(1-E98),2)&amp;" (2)"</f>
        <v>574 (2)</v>
      </c>
      <c r="H22" s="90">
        <f>ROUND(543*Belarus*(1-E98),2)</f>
        <v>543</v>
      </c>
      <c r="I22" s="90">
        <f>ROUND(537*Belarus*(1-E98),2)</f>
        <v>537</v>
      </c>
      <c r="J22" s="90">
        <f>ROUND(530*Belarus*(1-E98),2)</f>
        <v>530</v>
      </c>
      <c r="K22" s="87" t="s">
        <v>369</v>
      </c>
      <c r="L22" s="87" t="str">
        <f>ROUND(532*Belarus*(1-E98),2)&amp;" (2)"</f>
        <v>532 (2)</v>
      </c>
      <c r="M22" s="206" t="str">
        <f>ROUND(535*Belarus*(1-E98),2)&amp;" (2)"</f>
        <v>535 (2)</v>
      </c>
      <c r="N22" s="206" t="s">
        <v>369</v>
      </c>
      <c r="O22" s="721" t="str">
        <f>ROUND(521*Belarus*(1-O98),2)&amp;" (2)"</f>
        <v>521 (2)</v>
      </c>
      <c r="P22" s="90" t="s">
        <v>369</v>
      </c>
      <c r="Q22" s="87">
        <f>ROUND(573*Belarus*(1-Q98),2)</f>
        <v>573</v>
      </c>
      <c r="R22" s="1514">
        <f>ROUND(514*Belarus*(1-R98),2)</f>
        <v>514</v>
      </c>
      <c r="S22" s="1515"/>
      <c r="T22" s="1516"/>
    </row>
    <row r="23" spans="1:20" ht="12.75" customHeight="1">
      <c r="A23" s="1616" t="s">
        <v>644</v>
      </c>
      <c r="B23" s="1642"/>
      <c r="C23" s="169" t="s">
        <v>640</v>
      </c>
      <c r="D23" s="169" t="s">
        <v>369</v>
      </c>
      <c r="E23" s="87">
        <f>ROUND(2474*Belarus*(1-E98),2)</f>
        <v>2474</v>
      </c>
      <c r="F23" s="87">
        <f>ROUND(2548*Belarus*(1-E98),2)</f>
        <v>2548</v>
      </c>
      <c r="G23" s="721">
        <f>ROUND(2679*Belarus*(1-E98),2)</f>
        <v>2679</v>
      </c>
      <c r="H23" s="90">
        <f>ROUND(2365*Belarus*(1-E98),2)</f>
        <v>2365</v>
      </c>
      <c r="I23" s="90">
        <f>ROUND(2296*Belarus*(1-E98),2)</f>
        <v>2296</v>
      </c>
      <c r="J23" s="90">
        <f>ROUND(2228*Belarus*(1-E98),2)</f>
        <v>2228</v>
      </c>
      <c r="K23" s="87">
        <f>ROUND(3256*Belarus*(1-E98),2)</f>
        <v>3256</v>
      </c>
      <c r="L23" s="87">
        <f>ROUND(2253*Belarus*(1-E98),2)</f>
        <v>2253</v>
      </c>
      <c r="M23" s="88">
        <f>ROUND(2284*Belarus*(1-E98),2)</f>
        <v>2284</v>
      </c>
      <c r="N23" s="88">
        <f>ROUND(2250*Belarus*(1-E98),2)</f>
        <v>2250</v>
      </c>
      <c r="O23" s="721">
        <f>ROUND(2141*Belarus*(1-O98),2)</f>
        <v>2141</v>
      </c>
      <c r="P23" s="90">
        <f>ROUND(2064*Belarus*(1-P98),2)</f>
        <v>2064</v>
      </c>
      <c r="Q23" s="87">
        <f>ROUND(2665*Belarus*(1-Q98),2)</f>
        <v>2665</v>
      </c>
      <c r="R23" s="1514">
        <f>ROUND(2064*Belarus*(1-R98),2)</f>
        <v>2064</v>
      </c>
      <c r="S23" s="1515"/>
      <c r="T23" s="1516"/>
    </row>
    <row r="24" spans="1:20" ht="12.75" customHeight="1">
      <c r="A24" s="1616" t="s">
        <v>645</v>
      </c>
      <c r="B24" s="1642"/>
      <c r="C24" s="169" t="s">
        <v>640</v>
      </c>
      <c r="D24" s="169" t="s">
        <v>369</v>
      </c>
      <c r="E24" s="87">
        <f>ROUND(1550*Belarus*(1-E98),2)</f>
        <v>1550</v>
      </c>
      <c r="F24" s="87">
        <f>ROUND(1580*Belarus*(1-E98),2)</f>
        <v>1580</v>
      </c>
      <c r="G24" s="721">
        <f>ROUND(1634*Belarus*(1-E98),2)</f>
        <v>1634</v>
      </c>
      <c r="H24" s="90">
        <f>ROUND(1505*Belarus*(1-E98),2)</f>
        <v>1505</v>
      </c>
      <c r="I24" s="90">
        <f>ROUND(1477*Belarus*(1-E98),2)</f>
        <v>1477</v>
      </c>
      <c r="J24" s="90">
        <f>ROUND(1448*Belarus*(1-E98),2)</f>
        <v>1448</v>
      </c>
      <c r="K24" s="87">
        <f>ROUND(1872*Belarus*(1-E98),2)</f>
        <v>1872</v>
      </c>
      <c r="L24" s="87">
        <f>ROUND(1459*Belarus*(1-E98),2)</f>
        <v>1459</v>
      </c>
      <c r="M24" s="88">
        <f>ROUND(1472*Belarus*(1-E98),2)</f>
        <v>1472</v>
      </c>
      <c r="N24" s="88">
        <f>ROUND(1457*Belarus*(1-E98),2)</f>
        <v>1457</v>
      </c>
      <c r="O24" s="721">
        <f>ROUND(1413*Belarus*(1-O98),2)</f>
        <v>1413</v>
      </c>
      <c r="P24" s="90">
        <f>ROUND(1381*Belarus*(1-P98),2)</f>
        <v>1381</v>
      </c>
      <c r="Q24" s="87">
        <f>ROUND(1628*Belarus*(1-Q98),2)</f>
        <v>1628</v>
      </c>
      <c r="R24" s="1514">
        <f>ROUND(1381*Belarus*(1-R98),2)</f>
        <v>1381</v>
      </c>
      <c r="S24" s="1515"/>
      <c r="T24" s="1516"/>
    </row>
    <row r="25" spans="1:20" ht="12.75" customHeight="1">
      <c r="A25" s="1643" t="s">
        <v>646</v>
      </c>
      <c r="B25" s="207" t="s">
        <v>647</v>
      </c>
      <c r="C25" s="169" t="s">
        <v>631</v>
      </c>
      <c r="D25" s="169">
        <v>250</v>
      </c>
      <c r="E25" s="87">
        <f>ROUND(330*Belarus*(1-E98),2)</f>
        <v>330</v>
      </c>
      <c r="F25" s="87">
        <f>ROUND(345*Belarus*(1-E98),2)</f>
        <v>345</v>
      </c>
      <c r="G25" s="721">
        <f>ROUND(370*Belarus*(1-E98),2)</f>
        <v>370</v>
      </c>
      <c r="H25" s="90">
        <f>ROUND(309*Belarus*(1-E98),2)</f>
        <v>309</v>
      </c>
      <c r="I25" s="90">
        <f>ROUND(295*Belarus*(1-E98),2)</f>
        <v>295</v>
      </c>
      <c r="J25" s="90">
        <f>ROUND(282*Belarus*(1-E98),2)</f>
        <v>282</v>
      </c>
      <c r="K25" s="87">
        <f>ROUND(484*Belarus*(1-E98),2)</f>
        <v>484</v>
      </c>
      <c r="L25" s="87">
        <f>ROUND(287*Belarus*(1-E98),2)</f>
        <v>287</v>
      </c>
      <c r="M25" s="88">
        <f>ROUND(293*Belarus*(1-E98),2)</f>
        <v>293</v>
      </c>
      <c r="N25" s="88">
        <f>ROUND(286*Belarus*(1-E98),2)</f>
        <v>286</v>
      </c>
      <c r="O25" s="721">
        <f>ROUND(265*Belarus*(1-O98),2)</f>
        <v>265</v>
      </c>
      <c r="P25" s="90">
        <f>ROUND(250*Belarus*(1-P98),2)</f>
        <v>250</v>
      </c>
      <c r="Q25" s="87">
        <f>ROUND(367*Belarus*(1-Q98),2)</f>
        <v>367</v>
      </c>
      <c r="R25" s="1514">
        <f>ROUND(250*Belarus*(1-R98),2)</f>
        <v>250</v>
      </c>
      <c r="S25" s="1515"/>
      <c r="T25" s="1516"/>
    </row>
    <row r="26" spans="1:20" ht="12.75" customHeight="1">
      <c r="A26" s="1645"/>
      <c r="B26" s="208" t="s">
        <v>648</v>
      </c>
      <c r="C26" s="169" t="s">
        <v>631</v>
      </c>
      <c r="D26" s="169">
        <v>416</v>
      </c>
      <c r="E26" s="87">
        <f>ROUND(540*Belarus*(1-E98),2)</f>
        <v>540</v>
      </c>
      <c r="F26" s="87">
        <f>ROUND(564*Belarus*(1-E98),2)</f>
        <v>564</v>
      </c>
      <c r="G26" s="721">
        <f>ROUND(608*Belarus*(1-E98),2)</f>
        <v>608</v>
      </c>
      <c r="H26" s="90">
        <f>ROUND(504*Belarus*(1-E98),2)</f>
        <v>504</v>
      </c>
      <c r="I26" s="90">
        <f>ROUND(482*Belarus*(1-E98),2)</f>
        <v>482</v>
      </c>
      <c r="J26" s="90">
        <f>ROUND(460*Belarus*(1-E98),2)</f>
        <v>460</v>
      </c>
      <c r="K26" s="87">
        <f>ROUND(798*Belarus*(1-E98),2)</f>
        <v>798</v>
      </c>
      <c r="L26" s="87">
        <f>ROUND(468*Belarus*(1-E98),2)</f>
        <v>468</v>
      </c>
      <c r="M26" s="88">
        <f>ROUND(478*Belarus*(1-E98),2)</f>
        <v>478</v>
      </c>
      <c r="N26" s="88">
        <f>ROUND(467*Belarus*(1-E98),2)</f>
        <v>467</v>
      </c>
      <c r="O26" s="721">
        <f>ROUND(432*Belarus*(1-O98),2)</f>
        <v>432</v>
      </c>
      <c r="P26" s="90">
        <f>ROUND(406*Belarus*(1-P98),2)</f>
        <v>406</v>
      </c>
      <c r="Q26" s="87">
        <f>ROUND(604*Belarus*(1-Q98),2)</f>
        <v>604</v>
      </c>
      <c r="R26" s="1514">
        <f>ROUND(406*Belarus*(1-R98),2)</f>
        <v>406</v>
      </c>
      <c r="S26" s="1515"/>
      <c r="T26" s="1516"/>
    </row>
    <row r="27" spans="1:20" ht="12.75" customHeight="1">
      <c r="A27" s="1645"/>
      <c r="B27" s="208" t="s">
        <v>649</v>
      </c>
      <c r="C27" s="169" t="s">
        <v>631</v>
      </c>
      <c r="D27" s="169">
        <v>416</v>
      </c>
      <c r="E27" s="87">
        <f>ROUND(540*Belarus*(1-E98),2)</f>
        <v>540</v>
      </c>
      <c r="F27" s="87">
        <f>ROUND(564*Belarus*(1-E98),2)</f>
        <v>564</v>
      </c>
      <c r="G27" s="721">
        <f>ROUND(608*Belarus*(1-E98),2)</f>
        <v>608</v>
      </c>
      <c r="H27" s="90">
        <f>ROUND(504*Belarus*(1-E98),2)</f>
        <v>504</v>
      </c>
      <c r="I27" s="90">
        <f>ROUND(482*Belarus*(1-E98),2)</f>
        <v>482</v>
      </c>
      <c r="J27" s="90">
        <f>ROUND(460*Belarus*(1-E98),2)</f>
        <v>460</v>
      </c>
      <c r="K27" s="87">
        <f>ROUND(798*Belarus*(1-E98),2)</f>
        <v>798</v>
      </c>
      <c r="L27" s="87">
        <f>ROUND(468*Belarus*(1-E98),2)</f>
        <v>468</v>
      </c>
      <c r="M27" s="88">
        <f>ROUND(478*Belarus*(1-E98),2)</f>
        <v>478</v>
      </c>
      <c r="N27" s="88">
        <f>ROUND(467*Belarus*(1-E98),2)</f>
        <v>467</v>
      </c>
      <c r="O27" s="721">
        <f>ROUND(432*Belarus*(1-O98),2)</f>
        <v>432</v>
      </c>
      <c r="P27" s="90">
        <f>ROUND(406*Belarus*(1-P98),2)</f>
        <v>406</v>
      </c>
      <c r="Q27" s="87">
        <f>ROUND(604*Belarus*(1-Q98),2)</f>
        <v>604</v>
      </c>
      <c r="R27" s="1514">
        <f>ROUND(406*Belarus*(1-R98),2)</f>
        <v>406</v>
      </c>
      <c r="S27" s="1515"/>
      <c r="T27" s="1516"/>
    </row>
    <row r="28" spans="1:20" ht="12.75" customHeight="1">
      <c r="A28" s="1645"/>
      <c r="B28" s="208" t="s">
        <v>650</v>
      </c>
      <c r="C28" s="169" t="s">
        <v>631</v>
      </c>
      <c r="D28" s="169">
        <v>120</v>
      </c>
      <c r="E28" s="87">
        <f>ROUND(172*Belarus*(1-E98),2)</f>
        <v>172</v>
      </c>
      <c r="F28" s="88">
        <f>ROUND(179*Belarus*(1-E98),2)</f>
        <v>179</v>
      </c>
      <c r="G28" s="721">
        <f>ROUND(192*Belarus*(1-E98),2)</f>
        <v>192</v>
      </c>
      <c r="H28" s="90">
        <f>ROUND(161*Belarus*(1-E98),2)</f>
        <v>161</v>
      </c>
      <c r="I28" s="90">
        <f>ROUND(155*Belarus*(1-E98),2)</f>
        <v>155</v>
      </c>
      <c r="J28" s="90">
        <f>ROUND(148*Belarus*(1-E98),2)</f>
        <v>148</v>
      </c>
      <c r="K28" s="87">
        <f>ROUND(250*Belarus*(1-E98),2)</f>
        <v>250</v>
      </c>
      <c r="L28" s="87">
        <f>ROUND(151*Belarus*(1-E98),2)</f>
        <v>151</v>
      </c>
      <c r="M28" s="88">
        <f>ROUND(154*Belarus*(1-E98),2)</f>
        <v>154</v>
      </c>
      <c r="N28" s="88">
        <f>ROUND(150*Belarus*(1-E98),2)</f>
        <v>150</v>
      </c>
      <c r="O28" s="721">
        <f>ROUND(140*Belarus*(1-O98),2)</f>
        <v>140</v>
      </c>
      <c r="P28" s="90">
        <f>ROUND(132*Belarus*(1-P98),2)</f>
        <v>132</v>
      </c>
      <c r="Q28" s="87">
        <f>ROUND(191*Belarus*(1-Q98),2)</f>
        <v>191</v>
      </c>
      <c r="R28" s="1514">
        <f>ROUND(132*Belarus*(1-R98),2)</f>
        <v>132</v>
      </c>
      <c r="S28" s="1515"/>
      <c r="T28" s="1516"/>
    </row>
    <row r="29" spans="1:20" ht="12.75" customHeight="1">
      <c r="A29" s="1646"/>
      <c r="B29" s="208" t="s">
        <v>651</v>
      </c>
      <c r="C29" s="169" t="s">
        <v>631</v>
      </c>
      <c r="D29" s="169">
        <v>106</v>
      </c>
      <c r="E29" s="87">
        <f>ROUND(158*Belarus*(1-E98),2)</f>
        <v>158</v>
      </c>
      <c r="F29" s="88">
        <f>ROUND(164*Belarus*(1-E98),2)</f>
        <v>164</v>
      </c>
      <c r="G29" s="721">
        <f>ROUND(176*Belarus*(1-E98),2)</f>
        <v>176</v>
      </c>
      <c r="H29" s="90">
        <f>ROUND(148*Belarus*(1-E98),2)</f>
        <v>148</v>
      </c>
      <c r="I29" s="90">
        <f>ROUND(142*Belarus*(1-E98),2)</f>
        <v>142</v>
      </c>
      <c r="J29" s="90">
        <f>ROUND(136*Belarus*(1-E98),2)</f>
        <v>136</v>
      </c>
      <c r="K29" s="87">
        <f>ROUND(228*Belarus*(1-E98),2)</f>
        <v>228</v>
      </c>
      <c r="L29" s="87">
        <f>ROUND(138*Belarus*(1-E98),2)</f>
        <v>138</v>
      </c>
      <c r="M29" s="88">
        <f>ROUND(141*Belarus*(1-E98),2)</f>
        <v>141</v>
      </c>
      <c r="N29" s="88">
        <f>ROUND(138*Belarus*(1-E98),2)</f>
        <v>138</v>
      </c>
      <c r="O29" s="721">
        <f>ROUND(128*Belarus*(1-O98),2)</f>
        <v>128</v>
      </c>
      <c r="P29" s="90">
        <f>ROUND(121*Belarus*(1-P98),2)</f>
        <v>121</v>
      </c>
      <c r="Q29" s="87">
        <f>ROUND(175*Belarus*(1-Q98),2)</f>
        <v>175</v>
      </c>
      <c r="R29" s="1514">
        <f>ROUND(121*Belarus*(1-R98),2)</f>
        <v>121</v>
      </c>
      <c r="S29" s="1515"/>
      <c r="T29" s="1516"/>
    </row>
    <row r="30" spans="1:20" ht="12.75" customHeight="1">
      <c r="A30" s="1643" t="s">
        <v>652</v>
      </c>
      <c r="B30" s="209" t="s">
        <v>634</v>
      </c>
      <c r="C30" s="169" t="s">
        <v>631</v>
      </c>
      <c r="D30" s="169">
        <v>312</v>
      </c>
      <c r="E30" s="87">
        <f>ROUND(409*Belarus*(1-E98),2)</f>
        <v>409</v>
      </c>
      <c r="F30" s="87">
        <f>ROUND(428*Belarus*(1-E98),2)</f>
        <v>428</v>
      </c>
      <c r="G30" s="721">
        <f>ROUND(460*Belarus*(1-E98),2)</f>
        <v>460</v>
      </c>
      <c r="H30" s="90">
        <f>ROUND(382*Belarus*(1-E98),2)</f>
        <v>382</v>
      </c>
      <c r="I30" s="90">
        <f>ROUND(365*Belarus*(1-E98),2)</f>
        <v>365</v>
      </c>
      <c r="J30" s="90">
        <f>ROUND(348*Belarus*(1-E98),2)</f>
        <v>348</v>
      </c>
      <c r="K30" s="87">
        <f>ROUND(602*Belarus*(1-E98),2)</f>
        <v>602</v>
      </c>
      <c r="L30" s="87">
        <f>ROUND(354*Belarus*(1-E98),2)</f>
        <v>354</v>
      </c>
      <c r="M30" s="88">
        <f>ROUND(362*Belarus*(1-E98),2)</f>
        <v>362</v>
      </c>
      <c r="N30" s="88">
        <f>ROUND(354*Belarus*(1-E98),2)</f>
        <v>354</v>
      </c>
      <c r="O30" s="721">
        <f>ROUND(327*Belarus*(1-O98),2)</f>
        <v>327</v>
      </c>
      <c r="P30" s="90">
        <f>ROUND(308*Belarus*(1-P98),2)</f>
        <v>308</v>
      </c>
      <c r="Q30" s="87">
        <f>ROUND(456*Belarus*(1-Q98),2)</f>
        <v>456</v>
      </c>
      <c r="R30" s="1514">
        <f>ROUND(308*Belarus*(1-R98),2)</f>
        <v>308</v>
      </c>
      <c r="S30" s="1515"/>
      <c r="T30" s="1516"/>
    </row>
    <row r="31" spans="1:20" ht="12.75" customHeight="1">
      <c r="A31" s="1644"/>
      <c r="B31" s="208" t="s">
        <v>635</v>
      </c>
      <c r="C31" s="169" t="s">
        <v>631</v>
      </c>
      <c r="D31" s="169">
        <v>312</v>
      </c>
      <c r="E31" s="87">
        <f>ROUND(409*Belarus*(1-E98),2)</f>
        <v>409</v>
      </c>
      <c r="F31" s="87">
        <f>ROUND(428*Belarus*(1-E98),2)</f>
        <v>428</v>
      </c>
      <c r="G31" s="721">
        <f>ROUND(460*Belarus*(1-E98),2)</f>
        <v>460</v>
      </c>
      <c r="H31" s="90">
        <f>ROUND(382*Belarus*(1-E98),2)</f>
        <v>382</v>
      </c>
      <c r="I31" s="90">
        <f>ROUND(365*Belarus*(1-E98),2)</f>
        <v>365</v>
      </c>
      <c r="J31" s="90">
        <f>ROUND(348*Belarus*(1-E98),2)</f>
        <v>348</v>
      </c>
      <c r="K31" s="87">
        <f>ROUND(602*Belarus*(1-E98),2)</f>
        <v>602</v>
      </c>
      <c r="L31" s="87">
        <f>ROUND(354*Belarus*(1-E98),2)</f>
        <v>354</v>
      </c>
      <c r="M31" s="88">
        <f>ROUND(362*Belarus*(1-E98),2)</f>
        <v>362</v>
      </c>
      <c r="N31" s="88">
        <f>ROUND(354*Belarus*(1-E98),2)</f>
        <v>354</v>
      </c>
      <c r="O31" s="721">
        <f>ROUND(327*Belarus*(1-O98),2)</f>
        <v>327</v>
      </c>
      <c r="P31" s="90">
        <f>ROUND(308*Belarus*(1-P98),2)</f>
        <v>308</v>
      </c>
      <c r="Q31" s="87">
        <f>ROUND(456*Belarus*(1-Q98),2)</f>
        <v>456</v>
      </c>
      <c r="R31" s="1514">
        <f>ROUND(308*Belarus*(1-R98),2)</f>
        <v>308</v>
      </c>
      <c r="S31" s="1515"/>
      <c r="T31" s="1516"/>
    </row>
    <row r="32" spans="1:20" ht="12.75" customHeight="1">
      <c r="A32" s="205" t="s">
        <v>653</v>
      </c>
      <c r="B32" s="210" t="s">
        <v>654</v>
      </c>
      <c r="C32" s="169" t="s">
        <v>631</v>
      </c>
      <c r="D32" s="169">
        <v>625</v>
      </c>
      <c r="E32" s="87">
        <f>ROUND(804*Belarus*(1-E98),2)</f>
        <v>804</v>
      </c>
      <c r="F32" s="87">
        <f>ROUND(840*Belarus*(1-E98),2)</f>
        <v>840</v>
      </c>
      <c r="G32" s="721">
        <f>ROUND(905*Belarus*(1-E98),2)</f>
        <v>905</v>
      </c>
      <c r="H32" s="90">
        <f>ROUND(750*Belarus*(1-E98),2)</f>
        <v>750</v>
      </c>
      <c r="I32" s="90">
        <f>ROUND(716*Belarus*(1-E98),2)</f>
        <v>716</v>
      </c>
      <c r="J32" s="90">
        <f>ROUND(682*Belarus*(1-E98),2)</f>
        <v>682</v>
      </c>
      <c r="K32" s="87">
        <f>ROUND(1189*Belarus*(1-E98),2)</f>
        <v>1189</v>
      </c>
      <c r="L32" s="87">
        <f>ROUND(694*Belarus*(1-E98),2)</f>
        <v>694</v>
      </c>
      <c r="M32" s="88">
        <f>ROUND(710*Belarus*(1-E98),2)</f>
        <v>710</v>
      </c>
      <c r="N32" s="88">
        <f>ROUND(693*Belarus*(1-E98),2)</f>
        <v>693</v>
      </c>
      <c r="O32" s="721">
        <f>ROUND(640*Belarus*(1-O98),2)</f>
        <v>640</v>
      </c>
      <c r="P32" s="90">
        <f>ROUND(602*Belarus*(1-P98),2)</f>
        <v>602</v>
      </c>
      <c r="Q32" s="87">
        <f>ROUND(898*Belarus*(1-Q98),2)</f>
        <v>898</v>
      </c>
      <c r="R32" s="1514">
        <f>ROUND(602*Belarus*(1-R98),2)</f>
        <v>602</v>
      </c>
      <c r="S32" s="1515"/>
      <c r="T32" s="1516"/>
    </row>
    <row r="33" spans="1:20" ht="12.75" customHeight="1">
      <c r="A33" s="1616" t="s">
        <v>655</v>
      </c>
      <c r="B33" s="1642"/>
      <c r="C33" s="169" t="s">
        <v>631</v>
      </c>
      <c r="D33" s="169">
        <v>250</v>
      </c>
      <c r="E33" s="87">
        <f>ROUND(330*Belarus*(1-E98),2)</f>
        <v>330</v>
      </c>
      <c r="F33" s="87">
        <f>ROUND(345*Belarus*(1-E98),2)</f>
        <v>345</v>
      </c>
      <c r="G33" s="721">
        <f>ROUND(370*Belarus*(1-E98),2)</f>
        <v>370</v>
      </c>
      <c r="H33" s="90">
        <f>ROUND(309*Belarus*(1-E98),2)</f>
        <v>309</v>
      </c>
      <c r="I33" s="90">
        <f>ROUND(295*Belarus*(1-E98),2)</f>
        <v>295</v>
      </c>
      <c r="J33" s="90">
        <f>ROUND(282*Belarus*(1-E98),2)</f>
        <v>282</v>
      </c>
      <c r="K33" s="87">
        <f>ROUND(484*Belarus*(1-E98),2)</f>
        <v>484</v>
      </c>
      <c r="L33" s="87">
        <f>ROUND(287*Belarus*(1-E98),2)</f>
        <v>287</v>
      </c>
      <c r="M33" s="88">
        <f>ROUND(293*Belarus*(1-E98),2)</f>
        <v>293</v>
      </c>
      <c r="N33" s="88">
        <f>ROUND(286*Belarus*(1-E98),2)</f>
        <v>286</v>
      </c>
      <c r="O33" s="721">
        <f>ROUND(265*Belarus*(1-O98),2)</f>
        <v>265</v>
      </c>
      <c r="P33" s="90" t="str">
        <f>ROUND(260*Belarus*(1-P98),2)&amp;" "</f>
        <v xml:space="preserve">260 </v>
      </c>
      <c r="Q33" s="87">
        <f>ROUND(367*Belarus*(1-Q98),2)</f>
        <v>367</v>
      </c>
      <c r="R33" s="1514" t="str">
        <f>ROUND(260*Belarus*(1-R98),2)&amp;" "</f>
        <v xml:space="preserve">260 </v>
      </c>
      <c r="S33" s="1515"/>
      <c r="T33" s="1516"/>
    </row>
    <row r="34" spans="1:20" ht="12.75" customHeight="1">
      <c r="A34" s="1616" t="s">
        <v>656</v>
      </c>
      <c r="B34" s="1642"/>
      <c r="C34" s="169" t="s">
        <v>631</v>
      </c>
      <c r="D34" s="169">
        <v>312</v>
      </c>
      <c r="E34" s="87">
        <f>ROUND(409*Belarus*(1-E98),2)</f>
        <v>409</v>
      </c>
      <c r="F34" s="87">
        <f>ROUND(428*Belarus*(1-E98),2)</f>
        <v>428</v>
      </c>
      <c r="G34" s="721">
        <f>ROUND(460*Belarus*(1-E98),2)</f>
        <v>460</v>
      </c>
      <c r="H34" s="90">
        <f>ROUND(382*Belarus*(1-E98),2)</f>
        <v>382</v>
      </c>
      <c r="I34" s="90">
        <f>ROUND(365*Belarus*(1-E98),2)</f>
        <v>365</v>
      </c>
      <c r="J34" s="90">
        <f>ROUND(348*Belarus*(1-E98),2)</f>
        <v>348</v>
      </c>
      <c r="K34" s="87">
        <f>ROUND(602*Belarus*(1-E98),2)</f>
        <v>602</v>
      </c>
      <c r="L34" s="87">
        <f>ROUND(354*Belarus*(1-E98),2)</f>
        <v>354</v>
      </c>
      <c r="M34" s="88">
        <f>ROUND(362*Belarus*(1-E98),2)</f>
        <v>362</v>
      </c>
      <c r="N34" s="88">
        <f>ROUND(354*Belarus*(1-E98),2)</f>
        <v>354</v>
      </c>
      <c r="O34" s="721">
        <f>ROUND(327*Belarus*(1-O98),2)</f>
        <v>327</v>
      </c>
      <c r="P34" s="90">
        <f>ROUND(308*Belarus*(1-P98),2)</f>
        <v>308</v>
      </c>
      <c r="Q34" s="87">
        <f>ROUND(456*Belarus*(1-Q98),2)</f>
        <v>456</v>
      </c>
      <c r="R34" s="1514">
        <f>ROUND(308*Belarus*(1-R98),2)</f>
        <v>308</v>
      </c>
      <c r="S34" s="1515"/>
      <c r="T34" s="1516"/>
    </row>
    <row r="35" spans="1:20" ht="12.75" customHeight="1">
      <c r="A35" s="1616" t="s">
        <v>3719</v>
      </c>
      <c r="B35" s="1617"/>
      <c r="C35" s="169" t="s">
        <v>640</v>
      </c>
      <c r="D35" s="169" t="s">
        <v>369</v>
      </c>
      <c r="E35" s="87">
        <f>ROUND(317*Belarus*(1-E98),2)</f>
        <v>317</v>
      </c>
      <c r="F35" s="87">
        <f>ROUND(325*Belarus*(1-E98),2)</f>
        <v>325</v>
      </c>
      <c r="G35" s="721">
        <f>ROUND(338*Belarus*(1-E98),2)</f>
        <v>338</v>
      </c>
      <c r="H35" s="90">
        <f>ROUND(306*Belarus*(1-E98),2)</f>
        <v>306</v>
      </c>
      <c r="I35" s="90">
        <f>ROUND(299*Belarus*(1-E98),2)</f>
        <v>299</v>
      </c>
      <c r="J35" s="90">
        <f>ROUND(292*Belarus*(1-E98),2)</f>
        <v>292</v>
      </c>
      <c r="K35" s="87">
        <f>ROUND(397*Belarus*(1-E98),2)</f>
        <v>397</v>
      </c>
      <c r="L35" s="87">
        <f>ROUND(295*Belarus*(1-E98),2)</f>
        <v>295</v>
      </c>
      <c r="M35" s="88">
        <f>ROUND(298*Belarus*(1-E98),2)</f>
        <v>298</v>
      </c>
      <c r="N35" s="88">
        <f>ROUND(294*Belarus*(1-E98),2)</f>
        <v>294</v>
      </c>
      <c r="O35" s="721">
        <f>ROUND(283*Belarus*(1-O98),2)</f>
        <v>283</v>
      </c>
      <c r="P35" s="90">
        <f>ROUND(276*Belarus*(1-P98),2)</f>
        <v>276</v>
      </c>
      <c r="Q35" s="87">
        <f>ROUND(337*Belarus*(1-Q99),2)</f>
        <v>337</v>
      </c>
      <c r="R35" s="1514">
        <f>ROUND(276*Belarus*(1-R98),2)</f>
        <v>276</v>
      </c>
      <c r="S35" s="1515"/>
      <c r="T35" s="1516"/>
    </row>
    <row r="36" spans="1:20" ht="12.75" customHeight="1">
      <c r="A36" s="1616" t="s">
        <v>657</v>
      </c>
      <c r="B36" s="1642"/>
      <c r="C36" s="169" t="s">
        <v>631</v>
      </c>
      <c r="D36" s="169">
        <v>175</v>
      </c>
      <c r="E36" s="87" t="str">
        <f>ROUND(260*Belarus*(1-E98),2)&amp;" "</f>
        <v xml:space="preserve">260 </v>
      </c>
      <c r="F36" s="87" t="str">
        <f>ROUND(271*Belarus*(1-E98),2)&amp;" "</f>
        <v xml:space="preserve">271 </v>
      </c>
      <c r="G36" s="721" t="str">
        <f>ROUND(312*Belarus*(1-E98),2)&amp;" "</f>
        <v xml:space="preserve">312 </v>
      </c>
      <c r="H36" s="90" t="str">
        <f>ROUND(260*Belarus*(1-E98),2)&amp;" "</f>
        <v xml:space="preserve">260 </v>
      </c>
      <c r="I36" s="90" t="str">
        <f>ROUND(249*Belarus*(1-E98),2)&amp;" "</f>
        <v xml:space="preserve">249 </v>
      </c>
      <c r="J36" s="90" t="str">
        <f>ROUND(223*Belarus*(1-E98),2)&amp;" "</f>
        <v xml:space="preserve">223 </v>
      </c>
      <c r="K36" s="87" t="str">
        <f>ROUND(379*Belarus*(1-E98),2)&amp;" "</f>
        <v xml:space="preserve">379 </v>
      </c>
      <c r="L36" s="87" t="str">
        <f>ROUND(239*Belarus*(1-E98),2)&amp;" "</f>
        <v xml:space="preserve">239 </v>
      </c>
      <c r="M36" s="88" t="str">
        <f>ROUND(244*Belarus*(1-E98),2)&amp;" "</f>
        <v xml:space="preserve">244 </v>
      </c>
      <c r="N36" s="88">
        <f>ROUND(208*Belarus*(1-E98),2)</f>
        <v>208</v>
      </c>
      <c r="O36" s="721" t="str">
        <f>ROUND(224*Belarus*(1-O98),2)&amp;" "</f>
        <v xml:space="preserve">224 </v>
      </c>
      <c r="P36" s="90" t="str">
        <f>ROUND(211*Belarus*(1-P98),2)&amp;" "</f>
        <v xml:space="preserve">211 </v>
      </c>
      <c r="Q36" s="87">
        <f>ROUND(310*Belarus*(1-Q98),2)</f>
        <v>310</v>
      </c>
      <c r="R36" s="1514" t="str">
        <f>ROUND(211*Belarus*(1-R98),2)&amp;" "</f>
        <v xml:space="preserve">211 </v>
      </c>
      <c r="S36" s="1515"/>
      <c r="T36" s="1516"/>
    </row>
    <row r="37" spans="1:20" ht="12.75" customHeight="1">
      <c r="A37" s="1616" t="s">
        <v>658</v>
      </c>
      <c r="B37" s="1642"/>
      <c r="C37" s="169" t="s">
        <v>631</v>
      </c>
      <c r="D37" s="169">
        <v>195</v>
      </c>
      <c r="E37" s="87">
        <f>ROUND(278*Belarus*(1-E98),2)</f>
        <v>278</v>
      </c>
      <c r="F37" s="87">
        <f>ROUND(290*Belarus*(1-E98),2)</f>
        <v>290</v>
      </c>
      <c r="G37" s="721">
        <f>ROUND(311*Belarus*(1-E98),2)</f>
        <v>311</v>
      </c>
      <c r="H37" s="90">
        <f>ROUND(260*Belarus*(1-E98),2)</f>
        <v>260</v>
      </c>
      <c r="I37" s="90">
        <f>ROUND(249*Belarus*(1-E98),2)</f>
        <v>249</v>
      </c>
      <c r="J37" s="90">
        <f>ROUND(237*Belarus*(1-E98),2)</f>
        <v>237</v>
      </c>
      <c r="K37" s="87">
        <f>ROUND(407*Belarus*(1-E98),2)</f>
        <v>407</v>
      </c>
      <c r="L37" s="87">
        <f>ROUND(241*Belarus*(1-E98),2)</f>
        <v>241</v>
      </c>
      <c r="M37" s="88">
        <f>ROUND(247*Belarus*(1-E98),2)</f>
        <v>247</v>
      </c>
      <c r="N37" s="88">
        <f>ROUND(240*Belarus*(1-E98),2)</f>
        <v>240</v>
      </c>
      <c r="O37" s="721">
        <f>ROUND(222*Belarus*(1-O98),2)</f>
        <v>222</v>
      </c>
      <c r="P37" s="90">
        <f>ROUND(210*Belarus*(1-P98),2)</f>
        <v>210</v>
      </c>
      <c r="Q37" s="87">
        <f>ROUND(309*Belarus*(1-Q98),2)</f>
        <v>309</v>
      </c>
      <c r="R37" s="1514">
        <f>ROUND(210*Belarus*(1-R98),2)</f>
        <v>210</v>
      </c>
      <c r="S37" s="1515"/>
      <c r="T37" s="1516"/>
    </row>
    <row r="38" spans="1:20" ht="12.75" customHeight="1">
      <c r="A38" s="1616" t="s">
        <v>659</v>
      </c>
      <c r="B38" s="1642"/>
      <c r="C38" s="169" t="s">
        <v>631</v>
      </c>
      <c r="D38" s="169">
        <v>178</v>
      </c>
      <c r="E38" s="87">
        <f>ROUND(239*Belarus*(1-E98),2)</f>
        <v>239</v>
      </c>
      <c r="F38" s="87">
        <f>ROUND(251*Belarus*(1-E98),2)</f>
        <v>251</v>
      </c>
      <c r="G38" s="721">
        <f>ROUND(269*Belarus*(1-E98),2)</f>
        <v>269</v>
      </c>
      <c r="H38" s="90">
        <f>ROUND(224*Belarus*(1-E98),2)</f>
        <v>224</v>
      </c>
      <c r="I38" s="90">
        <f>ROUND(215*Belarus*(1-E98),2)</f>
        <v>215</v>
      </c>
      <c r="J38" s="90">
        <f>ROUND(205*Belarus*(1-E98),2)</f>
        <v>205</v>
      </c>
      <c r="K38" s="87">
        <f>ROUND(350*Belarus*(1-E98),2)</f>
        <v>350</v>
      </c>
      <c r="L38" s="87">
        <f>ROUND(208*Belarus*(1-E98),2)</f>
        <v>208</v>
      </c>
      <c r="M38" s="88">
        <f>ROUND(213*Belarus*(1-E98),2)</f>
        <v>213</v>
      </c>
      <c r="N38" s="88">
        <f>ROUND(208*Belarus*(1-E98),2)</f>
        <v>208</v>
      </c>
      <c r="O38" s="721">
        <f>ROUND(193*Belarus*(1-O98),2)</f>
        <v>193</v>
      </c>
      <c r="P38" s="90">
        <f>ROUND(182*Belarus*(1-P98),2)</f>
        <v>182</v>
      </c>
      <c r="Q38" s="87">
        <f>ROUND(267*Belarus*(1-Q98),2)</f>
        <v>267</v>
      </c>
      <c r="R38" s="1514">
        <f>ROUND(182*Belarus*(1-R98),2)</f>
        <v>182</v>
      </c>
      <c r="S38" s="1515"/>
      <c r="T38" s="1516"/>
    </row>
    <row r="39" spans="1:20" ht="12.75" customHeight="1">
      <c r="A39" s="1616" t="s">
        <v>660</v>
      </c>
      <c r="B39" s="1642"/>
      <c r="C39" s="169" t="s">
        <v>631</v>
      </c>
      <c r="D39" s="169">
        <v>250</v>
      </c>
      <c r="E39" s="87">
        <f>ROUND(330*Belarus*(1-E98),2)</f>
        <v>330</v>
      </c>
      <c r="F39" s="87">
        <f>ROUND(345*Belarus*(1-E97),2)</f>
        <v>345</v>
      </c>
      <c r="G39" s="721">
        <f>ROUND(370*Belarus*(1-E98),2)</f>
        <v>370</v>
      </c>
      <c r="H39" s="90">
        <f>ROUND(309*Belarus*(1-E98),2)</f>
        <v>309</v>
      </c>
      <c r="I39" s="90">
        <f>ROUND(295*Belarus*(1-E98),2)</f>
        <v>295</v>
      </c>
      <c r="J39" s="90">
        <f>ROUND(282*Belarus*(1-E98),2)</f>
        <v>282</v>
      </c>
      <c r="K39" s="87">
        <f>ROUND(484*Belarus*(1-E98),2)</f>
        <v>484</v>
      </c>
      <c r="L39" s="87">
        <f>ROUND(287*Belarus*(1-E98),2)</f>
        <v>287</v>
      </c>
      <c r="M39" s="88">
        <f>ROUND(293*Belarus*(1-E98),2)</f>
        <v>293</v>
      </c>
      <c r="N39" s="88">
        <f>ROUND(286*Belarus*(1-E98),2)</f>
        <v>286</v>
      </c>
      <c r="O39" s="721">
        <f>ROUND(265*Belarus*(1-O98),2)</f>
        <v>265</v>
      </c>
      <c r="P39" s="90">
        <f>ROUND(250*Belarus*(1-P98),2)</f>
        <v>250</v>
      </c>
      <c r="Q39" s="87">
        <f>ROUND(367*Belarus*(1-Q98),2)</f>
        <v>367</v>
      </c>
      <c r="R39" s="1514">
        <f>ROUND(250*Belarus*(1-R98),2)</f>
        <v>250</v>
      </c>
      <c r="S39" s="1515"/>
      <c r="T39" s="1516"/>
    </row>
    <row r="40" spans="1:20" ht="12.75" customHeight="1">
      <c r="A40" s="1616" t="s">
        <v>661</v>
      </c>
      <c r="B40" s="1617"/>
      <c r="C40" s="169" t="s">
        <v>631</v>
      </c>
      <c r="D40" s="169">
        <v>312</v>
      </c>
      <c r="E40" s="87">
        <f>ROUND(409*Belarus*(1-E98),2)</f>
        <v>409</v>
      </c>
      <c r="F40" s="87">
        <f>ROUND(428*Belarus*(1-E98),2)</f>
        <v>428</v>
      </c>
      <c r="G40" s="721">
        <f>ROUND(460*Belarus*(1-E98),2)</f>
        <v>460</v>
      </c>
      <c r="H40" s="90">
        <f>ROUND(382*Belarus*(1-E98),2)</f>
        <v>382</v>
      </c>
      <c r="I40" s="90">
        <f>ROUND(365*Belarus*(1-E98),2)</f>
        <v>365</v>
      </c>
      <c r="J40" s="90">
        <f>ROUND(348*Belarus*(1-E98),2)</f>
        <v>348</v>
      </c>
      <c r="K40" s="87">
        <f>ROUND(602*Belarus*(1-E98),2)</f>
        <v>602</v>
      </c>
      <c r="L40" s="87">
        <f>ROUND(354*Belarus*(1-E98),2)</f>
        <v>354</v>
      </c>
      <c r="M40" s="88">
        <f>ROUND(362*Belarus*(1-E98),2)</f>
        <v>362</v>
      </c>
      <c r="N40" s="88">
        <f>ROUND(354*Belarus*(1-E98),2)</f>
        <v>354</v>
      </c>
      <c r="O40" s="721">
        <f>ROUND(327*Belarus*(1-O98),2)</f>
        <v>327</v>
      </c>
      <c r="P40" s="90">
        <f>ROUND(308*Belarus*(1-P98),2)</f>
        <v>308</v>
      </c>
      <c r="Q40" s="87">
        <f>ROUND(456*Belarus*(1-Q98),2)</f>
        <v>456</v>
      </c>
      <c r="R40" s="1514">
        <f>ROUND(308*Belarus*(1-R98),2)</f>
        <v>308</v>
      </c>
      <c r="S40" s="1515"/>
      <c r="T40" s="1516"/>
    </row>
    <row r="41" spans="1:20" ht="12.75" customHeight="1">
      <c r="A41" s="1616" t="s">
        <v>662</v>
      </c>
      <c r="B41" s="1617"/>
      <c r="C41" s="169" t="s">
        <v>631</v>
      </c>
      <c r="D41" s="169">
        <v>100</v>
      </c>
      <c r="E41" s="87">
        <f>ROUND(146*Belarus*(1-E98),2)</f>
        <v>146</v>
      </c>
      <c r="F41" s="87">
        <f>ROUND(152*Belarus*(1-E98),2)</f>
        <v>152</v>
      </c>
      <c r="G41" s="721">
        <f>ROUND(163*Belarus*(1-E98),2)</f>
        <v>163</v>
      </c>
      <c r="H41" s="90">
        <f>ROUND(137*Belarus*(1-E98),2)</f>
        <v>137</v>
      </c>
      <c r="I41" s="90">
        <f>ROUND(132*Belarus*(1-E98),2)</f>
        <v>132</v>
      </c>
      <c r="J41" s="90">
        <f>ROUND(126*Belarus*(1-E98),2)</f>
        <v>126</v>
      </c>
      <c r="K41" s="87">
        <f>ROUND(210*Belarus*(1-E98),2)</f>
        <v>210</v>
      </c>
      <c r="L41" s="87">
        <f>ROUND(128*Belarus*(1-E98),2)</f>
        <v>128</v>
      </c>
      <c r="M41" s="88">
        <f>ROUND(130*Belarus*(1-E98),2)</f>
        <v>130</v>
      </c>
      <c r="N41" s="88">
        <f>ROUND(128*Belarus*(1-E98),2)</f>
        <v>128</v>
      </c>
      <c r="O41" s="721">
        <f>ROUND(119*Belarus*(1-O98),2)</f>
        <v>119</v>
      </c>
      <c r="P41" s="90">
        <f>ROUND(113*Belarus*(1-P98),2)</f>
        <v>113</v>
      </c>
      <c r="Q41" s="87">
        <f>ROUND(162*Belarus*(1-Q98),2)</f>
        <v>162</v>
      </c>
      <c r="R41" s="1514">
        <f>ROUND(113*Belarus*(1-R98),2)</f>
        <v>113</v>
      </c>
      <c r="S41" s="1515"/>
      <c r="T41" s="1516"/>
    </row>
    <row r="42" spans="1:20" ht="12.75" customHeight="1">
      <c r="A42" s="1616" t="s">
        <v>663</v>
      </c>
      <c r="B42" s="1617"/>
      <c r="C42" s="90" t="s">
        <v>631</v>
      </c>
      <c r="D42" s="90">
        <v>124</v>
      </c>
      <c r="E42" s="87">
        <f>ROUND(172*Belarus*(1-E98),2)</f>
        <v>172</v>
      </c>
      <c r="F42" s="87">
        <f>ROUND(179*Belarus*(1-E98),2)</f>
        <v>179</v>
      </c>
      <c r="G42" s="721">
        <f>ROUND(192*Belarus*(1-E98),2)</f>
        <v>192</v>
      </c>
      <c r="H42" s="90">
        <f>ROUND(161*Belarus*(1-E98),2)</f>
        <v>161</v>
      </c>
      <c r="I42" s="90">
        <f>ROUND(155*Belarus*(1-E98),2)</f>
        <v>155</v>
      </c>
      <c r="J42" s="90">
        <f>ROUND(148*Belarus*(1-E98),2)</f>
        <v>148</v>
      </c>
      <c r="K42" s="87">
        <f>ROUND(250*Belarus*(1-E98),2)</f>
        <v>250</v>
      </c>
      <c r="L42" s="87">
        <f>ROUND(151*Belarus*(1-E98),2)</f>
        <v>151</v>
      </c>
      <c r="M42" s="88">
        <f>ROUND(154*Belarus*(1-E98),2)</f>
        <v>154</v>
      </c>
      <c r="N42" s="88">
        <f>ROUND(150*Belarus*(1-E98),2)</f>
        <v>150</v>
      </c>
      <c r="O42" s="721">
        <f>ROUND(140*Belarus*(1-O98),2)</f>
        <v>140</v>
      </c>
      <c r="P42" s="90">
        <f>ROUND(132*Belarus*(1-P98),2)</f>
        <v>132</v>
      </c>
      <c r="Q42" s="87">
        <f>ROUND(191*Belarus*(1-Q98),2)</f>
        <v>191</v>
      </c>
      <c r="R42" s="1514">
        <f>ROUND(132*Belarus*(1-R98),2)</f>
        <v>132</v>
      </c>
      <c r="S42" s="1515"/>
      <c r="T42" s="1516"/>
    </row>
    <row r="43" spans="1:20">
      <c r="A43" s="796" t="s">
        <v>664</v>
      </c>
      <c r="B43" s="797"/>
      <c r="C43" s="797"/>
      <c r="D43" s="797"/>
      <c r="E43" s="797"/>
      <c r="F43" s="797"/>
      <c r="G43" s="797"/>
      <c r="H43" s="797"/>
      <c r="I43" s="797"/>
      <c r="J43" s="797"/>
      <c r="K43" s="797"/>
      <c r="L43" s="797"/>
      <c r="M43" s="797"/>
      <c r="N43" s="797"/>
      <c r="O43" s="797"/>
      <c r="P43" s="797"/>
      <c r="Q43" s="797"/>
      <c r="R43" s="797"/>
      <c r="S43" s="797"/>
      <c r="T43" s="798"/>
    </row>
    <row r="44" spans="1:20" ht="12.75" customHeight="1">
      <c r="A44" s="1616" t="s">
        <v>6319</v>
      </c>
      <c r="B44" s="1617"/>
      <c r="C44" s="169" t="s">
        <v>631</v>
      </c>
      <c r="D44" s="90">
        <v>330</v>
      </c>
      <c r="E44" s="87">
        <f>ROUND(540*Belarus*(1-E98),2)</f>
        <v>540</v>
      </c>
      <c r="F44" s="87">
        <f>ROUND(564*Belarus*(1-E98),2)</f>
        <v>564</v>
      </c>
      <c r="G44" s="721">
        <f>ROUND(608*Belarus*(1-E98),2)</f>
        <v>608</v>
      </c>
      <c r="H44" s="90">
        <f>ROUND(504*Belarus*(1-E98),2)</f>
        <v>504</v>
      </c>
      <c r="I44" s="90">
        <f>ROUND(482*Belarus*(1-E98),2)</f>
        <v>482</v>
      </c>
      <c r="J44" s="90">
        <f>ROUND(460*Belarus*(1-E98),2)</f>
        <v>460</v>
      </c>
      <c r="K44" s="87">
        <f>ROUND(798*Belarus*(1-E98),2)</f>
        <v>798</v>
      </c>
      <c r="L44" s="87">
        <f>ROUND(468*Belarus*(1-E98),2)</f>
        <v>468</v>
      </c>
      <c r="M44" s="88">
        <f>ROUND(478*Belarus*(1-E98),2)</f>
        <v>478</v>
      </c>
      <c r="N44" s="88">
        <f>ROUND(467*Belarus*(1-E98),2)</f>
        <v>467</v>
      </c>
      <c r="O44" s="721">
        <f>ROUND(432*Belarus*(1-O98),2)</f>
        <v>432</v>
      </c>
      <c r="P44" s="90">
        <f>ROUND(406*Belarus*(1-P98),2)</f>
        <v>406</v>
      </c>
      <c r="Q44" s="87">
        <f>ROUND(604*Belarus*(1-Q98),2)</f>
        <v>604</v>
      </c>
      <c r="R44" s="1514">
        <f>ROUND(406*Belarus*(1-R98),2)</f>
        <v>406</v>
      </c>
      <c r="S44" s="1515"/>
      <c r="T44" s="1516"/>
    </row>
    <row r="45" spans="1:20" ht="12.75" customHeight="1">
      <c r="A45" s="1616" t="s">
        <v>6328</v>
      </c>
      <c r="B45" s="1617"/>
      <c r="C45" s="169" t="s">
        <v>631</v>
      </c>
      <c r="D45" s="90">
        <v>325</v>
      </c>
      <c r="E45" s="87">
        <f>ROUND(540*Belarus*(1-E98),2)</f>
        <v>540</v>
      </c>
      <c r="F45" s="87">
        <f>ROUND(564*Belarus*(1-E98),2)</f>
        <v>564</v>
      </c>
      <c r="G45" s="721">
        <f>ROUND(608*Belarus*(1-E98),2)</f>
        <v>608</v>
      </c>
      <c r="H45" s="90">
        <f>ROUND(504*Belarus*(1-E98),2)</f>
        <v>504</v>
      </c>
      <c r="I45" s="90">
        <f>ROUND(482*Belarus*(1-E98),2)</f>
        <v>482</v>
      </c>
      <c r="J45" s="90">
        <f>ROUND(460*Belarus*(1-E98),2)</f>
        <v>460</v>
      </c>
      <c r="K45" s="87">
        <f>ROUND(798*Belarus*(1-E98),2)</f>
        <v>798</v>
      </c>
      <c r="L45" s="87">
        <f>ROUND(468*Belarus*(1-E98),2)</f>
        <v>468</v>
      </c>
      <c r="M45" s="88">
        <f>ROUND(478*Belarus*(1-E98),2)</f>
        <v>478</v>
      </c>
      <c r="N45" s="88">
        <f>ROUND(467*Belarus*(1-E98),2)</f>
        <v>467</v>
      </c>
      <c r="O45" s="721">
        <f>ROUND(432*Belarus*(1-O98),2)</f>
        <v>432</v>
      </c>
      <c r="P45" s="90">
        <f>ROUND(406*Belarus*(1-P98),2)</f>
        <v>406</v>
      </c>
      <c r="Q45" s="87">
        <f>ROUND(604*Belarus*(1-Q98),2)</f>
        <v>604</v>
      </c>
      <c r="R45" s="1514">
        <f>ROUND(406*Belarus*(1-R98),2)</f>
        <v>406</v>
      </c>
      <c r="S45" s="1515"/>
      <c r="T45" s="1516"/>
    </row>
    <row r="46" spans="1:20" ht="12.75" customHeight="1">
      <c r="A46" s="1616" t="s">
        <v>6320</v>
      </c>
      <c r="B46" s="1617"/>
      <c r="C46" s="169" t="s">
        <v>631</v>
      </c>
      <c r="D46" s="90">
        <v>380</v>
      </c>
      <c r="E46" s="87">
        <f>ROUND(540*Belarus*(1-E98),2)</f>
        <v>540</v>
      </c>
      <c r="F46" s="87">
        <f>ROUND(564*Belarus*(1-E98),2)</f>
        <v>564</v>
      </c>
      <c r="G46" s="721">
        <f>ROUND(608*Belarus*(1-E98),2)</f>
        <v>608</v>
      </c>
      <c r="H46" s="90">
        <f>ROUND(504*Belarus*(1-E98),2)</f>
        <v>504</v>
      </c>
      <c r="I46" s="90">
        <f>ROUND(482*Belarus*(1-E98),2)</f>
        <v>482</v>
      </c>
      <c r="J46" s="90">
        <f>ROUND(460*Belarus*(1-E98),2)</f>
        <v>460</v>
      </c>
      <c r="K46" s="87">
        <f>ROUND(798*Belarus*(1-E98),2)</f>
        <v>798</v>
      </c>
      <c r="L46" s="87">
        <f>ROUND(468*Belarus*(1-E98),2)</f>
        <v>468</v>
      </c>
      <c r="M46" s="88">
        <f>ROUND(478*Belarus*(1-E98),2)</f>
        <v>478</v>
      </c>
      <c r="N46" s="88">
        <f>ROUND(467*Belarus*(1-E98),2)</f>
        <v>467</v>
      </c>
      <c r="O46" s="721">
        <f>ROUND(432*Belarus*(1-O98),2)</f>
        <v>432</v>
      </c>
      <c r="P46" s="90">
        <f>ROUND(406*Belarus*(1-P98),2)</f>
        <v>406</v>
      </c>
      <c r="Q46" s="87">
        <f>ROUND(604*Belarus*(1-Q98),2)</f>
        <v>604</v>
      </c>
      <c r="R46" s="1514">
        <f>ROUND(406*Belarus*(1-R98),2)</f>
        <v>406</v>
      </c>
      <c r="S46" s="1515"/>
      <c r="T46" s="1516"/>
    </row>
    <row r="47" spans="1:20" ht="12.75" customHeight="1">
      <c r="A47" s="1616" t="s">
        <v>6329</v>
      </c>
      <c r="B47" s="1617"/>
      <c r="C47" s="169" t="s">
        <v>631</v>
      </c>
      <c r="D47" s="90">
        <v>375</v>
      </c>
      <c r="E47" s="87">
        <f>ROUND(540*Belarus*(1-E98),2)</f>
        <v>540</v>
      </c>
      <c r="F47" s="87">
        <f>ROUND(564*Belarus*(1-E98),2)</f>
        <v>564</v>
      </c>
      <c r="G47" s="721">
        <f>ROUND(608*Belarus*(1-E98),2)</f>
        <v>608</v>
      </c>
      <c r="H47" s="90">
        <f>ROUND(504*Belarus*(1-E98),2)</f>
        <v>504</v>
      </c>
      <c r="I47" s="90">
        <f>ROUND(482*Belarus*(1-E98),2)</f>
        <v>482</v>
      </c>
      <c r="J47" s="90">
        <f>ROUND(460*Belarus*(1-E98),2)</f>
        <v>460</v>
      </c>
      <c r="K47" s="87">
        <f>ROUND(798*Belarus*(1-E98),2)</f>
        <v>798</v>
      </c>
      <c r="L47" s="87">
        <f>ROUND(468*Belarus*(1-E98),2)</f>
        <v>468</v>
      </c>
      <c r="M47" s="88">
        <f>ROUND(478*Belarus*(1-E98),2)</f>
        <v>478</v>
      </c>
      <c r="N47" s="88">
        <f>ROUND(467*Belarus*(1-E98),2)</f>
        <v>467</v>
      </c>
      <c r="O47" s="721">
        <f>ROUND(432*Belarus*(1-O98),2)</f>
        <v>432</v>
      </c>
      <c r="P47" s="90">
        <f>ROUND(406*Belarus*(1-P98),2)</f>
        <v>406</v>
      </c>
      <c r="Q47" s="87">
        <f>ROUND(604*Belarus*(1-Q98),2)</f>
        <v>604</v>
      </c>
      <c r="R47" s="1514">
        <f>ROUND(406*Belarus*(1-R98),2)</f>
        <v>406</v>
      </c>
      <c r="S47" s="1515"/>
      <c r="T47" s="1516"/>
    </row>
    <row r="48" spans="1:20" ht="12.75" customHeight="1">
      <c r="A48" s="1616" t="s">
        <v>6330</v>
      </c>
      <c r="B48" s="1617"/>
      <c r="C48" s="169" t="s">
        <v>631</v>
      </c>
      <c r="D48" s="90">
        <v>355</v>
      </c>
      <c r="E48" s="87">
        <f>ROUND(540*Belarus*(1-E98),2)</f>
        <v>540</v>
      </c>
      <c r="F48" s="87">
        <f>ROUND(564*Belarus*(1-E98),2)</f>
        <v>564</v>
      </c>
      <c r="G48" s="721">
        <f>ROUND(608*Belarus*(1-E98),2)</f>
        <v>608</v>
      </c>
      <c r="H48" s="90">
        <f>ROUND(504*Belarus*(1-E98),2)</f>
        <v>504</v>
      </c>
      <c r="I48" s="90">
        <f>ROUND(482*Belarus*(1-E98),2)</f>
        <v>482</v>
      </c>
      <c r="J48" s="90">
        <f>ROUND(460*Belarus*(1-E98),2)</f>
        <v>460</v>
      </c>
      <c r="K48" s="87">
        <f>ROUND(798*Belarus*(1-E98),2)</f>
        <v>798</v>
      </c>
      <c r="L48" s="87">
        <f>ROUND(468*Belarus*(1-E98),2)</f>
        <v>468</v>
      </c>
      <c r="M48" s="88">
        <f>ROUND(478*Belarus*(1-E98),2)</f>
        <v>478</v>
      </c>
      <c r="N48" s="88">
        <f>ROUND(467*Belarus*(1-E98),2)</f>
        <v>467</v>
      </c>
      <c r="O48" s="721">
        <f>ROUND(432*Belarus*(1-O98),2)</f>
        <v>432</v>
      </c>
      <c r="P48" s="90">
        <f>ROUND(406*Belarus*(1-P98),2)</f>
        <v>406</v>
      </c>
      <c r="Q48" s="87">
        <f>ROUND(604*Belarus*(1-Q98),2)</f>
        <v>604</v>
      </c>
      <c r="R48" s="1514">
        <f>ROUND(406*Belarus*(1-R98),2)</f>
        <v>406</v>
      </c>
      <c r="S48" s="1515"/>
      <c r="T48" s="1516"/>
    </row>
    <row r="49" spans="1:20" ht="12.75" customHeight="1">
      <c r="A49" s="1616" t="s">
        <v>660</v>
      </c>
      <c r="B49" s="1641"/>
      <c r="C49" s="169" t="s">
        <v>631</v>
      </c>
      <c r="D49" s="90">
        <v>250</v>
      </c>
      <c r="E49" s="87">
        <f>ROUND(330*Belarus*(1-E98),2)</f>
        <v>330</v>
      </c>
      <c r="F49" s="87">
        <f>ROUND(345*Belarus*(1-E98),2)</f>
        <v>345</v>
      </c>
      <c r="G49" s="721">
        <f>ROUND(370*Belarus*(1-E98),2)</f>
        <v>370</v>
      </c>
      <c r="H49" s="90">
        <f>ROUND(309*Belarus*(1-E98),2)</f>
        <v>309</v>
      </c>
      <c r="I49" s="90">
        <f>ROUND(295*Belarus*(1-E98),2)</f>
        <v>295</v>
      </c>
      <c r="J49" s="90">
        <f>ROUND(282*Belarus*(1-E98),2)</f>
        <v>282</v>
      </c>
      <c r="K49" s="87">
        <f>ROUND(484*Belarus*(1-E98),2)</f>
        <v>484</v>
      </c>
      <c r="L49" s="87">
        <f>ROUND(287*Belarus*(1-E98),2)</f>
        <v>287</v>
      </c>
      <c r="M49" s="88">
        <f>ROUND(293*Belarus*(1-E98),2)</f>
        <v>293</v>
      </c>
      <c r="N49" s="88">
        <f>ROUND(286*Belarus*(1-E98),2)</f>
        <v>286</v>
      </c>
      <c r="O49" s="721">
        <f>ROUND(265*Belarus*(1-O98),2)</f>
        <v>265</v>
      </c>
      <c r="P49" s="90">
        <f>ROUND(250*Belarus*(1-P98),2)</f>
        <v>250</v>
      </c>
      <c r="Q49" s="87">
        <f>ROUND(367*Belarus*(1-Q98),2)</f>
        <v>367</v>
      </c>
      <c r="R49" s="1514">
        <f>ROUND(250*Belarus*(1-R98),2)</f>
        <v>250</v>
      </c>
      <c r="S49" s="1515"/>
      <c r="T49" s="1516"/>
    </row>
    <row r="50" spans="1:20" ht="12.75" customHeight="1">
      <c r="A50" s="1638" t="s">
        <v>4079</v>
      </c>
      <c r="B50" s="1638"/>
      <c r="C50" s="169" t="s">
        <v>631</v>
      </c>
      <c r="D50" s="90">
        <v>89</v>
      </c>
      <c r="E50" s="87">
        <f>ROUND(127*Belarus*(1-E98),2)</f>
        <v>127</v>
      </c>
      <c r="F50" s="87">
        <f>ROUND(133*Belarus*(1-E98),2)</f>
        <v>133</v>
      </c>
      <c r="G50" s="721">
        <f>ROUND(142*Belarus*(1-E98),2)</f>
        <v>142</v>
      </c>
      <c r="H50" s="90">
        <f>ROUND(120*Belarus*(1-E98),2)</f>
        <v>120</v>
      </c>
      <c r="I50" s="90">
        <f>ROUND(115*Belarus*(1-E98),2)</f>
        <v>115</v>
      </c>
      <c r="J50" s="90">
        <f>ROUND(110*Belarus*(1-E98),2)</f>
        <v>110</v>
      </c>
      <c r="K50" s="87">
        <f>ROUND(182*Belarus*(1-E98),2)</f>
        <v>182</v>
      </c>
      <c r="L50" s="87">
        <f>ROUND(112*Belarus*(1-E98),2)</f>
        <v>112</v>
      </c>
      <c r="M50" s="88">
        <f>ROUND(114*Belarus*(1-E98),2)</f>
        <v>114</v>
      </c>
      <c r="N50" s="88">
        <f>ROUND(112*Belarus*(1-E98),2)</f>
        <v>112</v>
      </c>
      <c r="O50" s="721">
        <f>ROUND(104*Belarus*(1-O98),2)</f>
        <v>104</v>
      </c>
      <c r="P50" s="90">
        <f>ROUND(99*Belarus*(1-P98),2)</f>
        <v>99</v>
      </c>
      <c r="Q50" s="87">
        <f>ROUND(141*Belarus*(1-Q98),2)</f>
        <v>141</v>
      </c>
      <c r="R50" s="1514">
        <f>ROUND(99*Belarus*(1-R98),2)</f>
        <v>99</v>
      </c>
      <c r="S50" s="1515"/>
      <c r="T50" s="1516"/>
    </row>
    <row r="51" spans="1:20">
      <c r="A51" s="1616" t="s">
        <v>665</v>
      </c>
      <c r="B51" s="1617"/>
      <c r="C51" s="169" t="s">
        <v>631</v>
      </c>
      <c r="D51" s="90">
        <v>83</v>
      </c>
      <c r="E51" s="87">
        <f>ROUND(120*Belarus*(1-E98),2)</f>
        <v>120</v>
      </c>
      <c r="F51" s="87">
        <f>ROUND(125*Belarus*(1-E98),2)</f>
        <v>125</v>
      </c>
      <c r="G51" s="721">
        <f>ROUND(133*Belarus*(1-E98),2)</f>
        <v>133</v>
      </c>
      <c r="H51" s="90">
        <f>ROUND(113*Belarus*(1-E98),2)</f>
        <v>113</v>
      </c>
      <c r="I51" s="90">
        <f>ROUND(108*Belarus*(1-E98),2)</f>
        <v>108</v>
      </c>
      <c r="J51" s="90">
        <f>ROUND(104*Belarus*(1-E98),2)</f>
        <v>104</v>
      </c>
      <c r="K51" s="87">
        <f>ROUND(171*Belarus*(1-E98),2)</f>
        <v>171</v>
      </c>
      <c r="L51" s="87">
        <f>ROUND(105*Belarus*(1-E98),2)</f>
        <v>105</v>
      </c>
      <c r="M51" s="88">
        <f>ROUND(107*Belarus*(1-E98),2)</f>
        <v>107</v>
      </c>
      <c r="N51" s="88">
        <f>ROUND(105*Belarus*(1-E98),2)</f>
        <v>105</v>
      </c>
      <c r="O51" s="721">
        <f>ROUND(98*Belarus*(1-O98),2)</f>
        <v>98</v>
      </c>
      <c r="P51" s="90">
        <f>ROUND(93*Belarus*(1-P98),2)</f>
        <v>93</v>
      </c>
      <c r="Q51" s="87">
        <f>ROUND(132*Belarus*(1-Q98),2)</f>
        <v>132</v>
      </c>
      <c r="R51" s="1514">
        <f>ROUND(93*Belarus*(1-R98),2)</f>
        <v>93</v>
      </c>
      <c r="S51" s="1515"/>
      <c r="T51" s="1516"/>
    </row>
    <row r="52" spans="1:20">
      <c r="A52" s="1639" t="s">
        <v>666</v>
      </c>
      <c r="B52" s="1639"/>
      <c r="C52" s="1639"/>
      <c r="D52" s="1639"/>
      <c r="E52" s="1639"/>
      <c r="F52" s="1639"/>
      <c r="G52" s="1639"/>
      <c r="H52" s="1639"/>
      <c r="I52" s="1639"/>
      <c r="J52" s="1639"/>
      <c r="K52" s="1639"/>
      <c r="L52" s="1639"/>
      <c r="M52" s="1639"/>
      <c r="N52" s="1639"/>
      <c r="O52" s="1639"/>
      <c r="P52" s="1639"/>
      <c r="Q52" s="1639"/>
      <c r="R52" s="1639"/>
      <c r="S52" s="1639"/>
      <c r="T52" s="1639"/>
    </row>
    <row r="53" spans="1:20" ht="12.75" customHeight="1">
      <c r="A53" s="1531" t="s">
        <v>307</v>
      </c>
      <c r="B53" s="1531" t="s">
        <v>667</v>
      </c>
      <c r="C53" s="1531"/>
      <c r="D53" s="1531"/>
      <c r="E53" s="1640" t="s">
        <v>286</v>
      </c>
      <c r="F53" s="1640"/>
      <c r="G53" s="1640"/>
      <c r="H53" s="1640"/>
      <c r="I53" s="1640"/>
      <c r="J53" s="1640"/>
      <c r="K53" s="1640"/>
      <c r="L53" s="1640"/>
      <c r="M53" s="1640"/>
      <c r="N53" s="1640"/>
      <c r="O53" s="1640"/>
      <c r="P53" s="1640"/>
      <c r="Q53" s="1640"/>
      <c r="R53" s="1640"/>
      <c r="S53" s="1640"/>
      <c r="T53" s="1640"/>
    </row>
    <row r="54" spans="1:20" ht="25.5" customHeight="1">
      <c r="A54" s="1531"/>
      <c r="B54" s="1531"/>
      <c r="C54" s="1531"/>
      <c r="D54" s="1531"/>
      <c r="E54" s="213" t="s">
        <v>668</v>
      </c>
      <c r="F54" s="213" t="s">
        <v>329</v>
      </c>
      <c r="G54" s="214" t="s">
        <v>669</v>
      </c>
      <c r="H54" s="214" t="s">
        <v>331</v>
      </c>
      <c r="I54" s="214" t="s">
        <v>332</v>
      </c>
      <c r="J54" s="214" t="s">
        <v>333</v>
      </c>
      <c r="K54" s="213" t="s">
        <v>528</v>
      </c>
      <c r="L54" s="213" t="s">
        <v>323</v>
      </c>
      <c r="M54" s="213" t="s">
        <v>620</v>
      </c>
      <c r="N54" s="213" t="s">
        <v>5344</v>
      </c>
      <c r="O54" s="214" t="s">
        <v>334</v>
      </c>
      <c r="P54" s="214" t="s">
        <v>335</v>
      </c>
      <c r="Q54" s="213" t="s">
        <v>670</v>
      </c>
      <c r="R54" s="163" t="s">
        <v>336</v>
      </c>
      <c r="S54" s="213" t="s">
        <v>671</v>
      </c>
      <c r="T54" s="213" t="s">
        <v>672</v>
      </c>
    </row>
    <row r="55" spans="1:20" ht="25.5">
      <c r="A55" s="215" t="s">
        <v>673</v>
      </c>
      <c r="B55" s="1631">
        <v>100</v>
      </c>
      <c r="C55" s="1631"/>
      <c r="D55" s="1631"/>
      <c r="E55" s="87">
        <f>ROUND($B$55*(IF($B$55&lt;625,1800,1800*1.15)/1000)*Belarus*(1-$E$99),2)</f>
        <v>180</v>
      </c>
      <c r="F55" s="87">
        <f>ROUND($B$55*(IF($B$55&lt;625,1750,1750*1.15)/1000)*Belarus*(1-$E$99),2)</f>
        <v>175</v>
      </c>
      <c r="G55" s="90">
        <f>ROUND($B$55*(IF($B$55&lt;625,2006,2006*1.15)/1000)*Belarus*(1-$E$99),2)</f>
        <v>200.6</v>
      </c>
      <c r="H55" s="90">
        <f>ROUND($B$55*(IF($B$55&lt;625,1715,1715*1.15)/1000)*Belarus*(1-$E$99),2)</f>
        <v>171.5</v>
      </c>
      <c r="I55" s="90">
        <f>ROUND($B$55*(IF($B$55&lt;625,1597,1597*1.15)/1000)*Belarus*(1-$E$99),2)</f>
        <v>159.69999999999999</v>
      </c>
      <c r="J55" s="90">
        <f>ROUND($B$55*(IF($B$55&lt;625,1591,1591*1.15)/1000)*Belarus*(1-$E$99),2)</f>
        <v>159.1</v>
      </c>
      <c r="K55" s="87">
        <f>ROUND($B$55*(IF($B$55&lt;625,2470,2470*1.15)/1000)*Belarus*(1-$E$99),2)</f>
        <v>247</v>
      </c>
      <c r="L55" s="87">
        <f>ROUND($B$55*(IF($B$55&lt;625,1581,1581*1.15)/1000)*Belarus*(1-$E$99),2)</f>
        <v>158.1</v>
      </c>
      <c r="M55" s="87">
        <f>ROUND($B$55*(IF($B$55&lt;625,1591,1591*1.15)/1000)*Belarus*(1-$E$99),2)</f>
        <v>159.1</v>
      </c>
      <c r="N55" s="87">
        <f>ROUND($B$55*(IF($B$55&lt;625,1572,1572*1.15)/1000)*Belarus*(1-$E$99),2)</f>
        <v>157.19999999999999</v>
      </c>
      <c r="O55" s="90">
        <f>ROUND($B$55*(IF($B$55&lt;625,1564,1564*1.15)/1000)*Belarus*(1-$E$99),2)</f>
        <v>156.4</v>
      </c>
      <c r="P55" s="90">
        <f>ROUND($B$55*(IF($B$55&lt;625,1553,1553*1.15)/1000)*Belarus*(1-$E$99),2)</f>
        <v>155.30000000000001</v>
      </c>
      <c r="Q55" s="87">
        <f>ROUND($B$55*(IF($B$55&lt;625,2280,2280*1.15)/1000)*Belarus*(1-$E$99),2)</f>
        <v>228</v>
      </c>
      <c r="R55" s="87">
        <f>ROUND($B$55*(IF($B$55&lt;625,1548,1548*1.15)/1000)*Belarus*(1-$E$99),2)</f>
        <v>154.80000000000001</v>
      </c>
      <c r="S55" s="87">
        <f>ROUND($B$55*(IF($B$55&lt;625,1833,1883*1.15)/1000)*Belarus*(1-$E$99),2)</f>
        <v>183.3</v>
      </c>
      <c r="T55" s="87">
        <f>ROUND($B$55*(IF($B$55&lt;625,1553,1553*1.15)/1000)*Belarus*(1-$E$99),2)</f>
        <v>155.30000000000001</v>
      </c>
    </row>
    <row r="56" spans="1:20">
      <c r="A56" s="1634" t="s">
        <v>674</v>
      </c>
      <c r="B56" s="1635"/>
      <c r="C56" s="1635"/>
      <c r="D56" s="1635"/>
      <c r="E56" s="1635"/>
      <c r="F56" s="1635"/>
      <c r="G56" s="1635"/>
      <c r="H56" s="1635"/>
      <c r="I56" s="1635"/>
      <c r="J56" s="1635"/>
      <c r="K56" s="1635"/>
      <c r="L56" s="1635"/>
      <c r="M56" s="1635"/>
      <c r="N56" s="1635"/>
      <c r="O56" s="1635"/>
      <c r="P56" s="1635"/>
      <c r="Q56" s="1635"/>
      <c r="R56" s="1635"/>
      <c r="S56" s="1635"/>
      <c r="T56" s="1636"/>
    </row>
    <row r="57" spans="1:20" ht="12" customHeight="1">
      <c r="A57" s="1531" t="s">
        <v>307</v>
      </c>
      <c r="B57" s="1531" t="s">
        <v>675</v>
      </c>
      <c r="C57" s="1531" t="s">
        <v>285</v>
      </c>
      <c r="D57" s="1531"/>
      <c r="E57" s="1637" t="s">
        <v>676</v>
      </c>
      <c r="F57" s="1637"/>
      <c r="G57" s="1637"/>
      <c r="H57" s="1637"/>
      <c r="I57" s="1637"/>
      <c r="J57" s="1637"/>
      <c r="K57" s="1637"/>
      <c r="L57" s="1637"/>
      <c r="M57" s="1637"/>
      <c r="N57" s="1637"/>
      <c r="O57" s="1637"/>
      <c r="P57" s="1637"/>
      <c r="Q57" s="1637"/>
      <c r="R57" s="1637"/>
      <c r="S57" s="1637" t="s">
        <v>325</v>
      </c>
      <c r="T57" s="1637"/>
    </row>
    <row r="58" spans="1:20" ht="25.5" customHeight="1">
      <c r="A58" s="1531"/>
      <c r="B58" s="1531"/>
      <c r="C58" s="1531"/>
      <c r="D58" s="1531"/>
      <c r="E58" s="213" t="s">
        <v>668</v>
      </c>
      <c r="F58" s="213" t="s">
        <v>329</v>
      </c>
      <c r="G58" s="216" t="s">
        <v>669</v>
      </c>
      <c r="H58" s="214" t="s">
        <v>331</v>
      </c>
      <c r="I58" s="214" t="s">
        <v>332</v>
      </c>
      <c r="J58" s="214" t="s">
        <v>333</v>
      </c>
      <c r="K58" s="213" t="s">
        <v>528</v>
      </c>
      <c r="L58" s="213" t="s">
        <v>323</v>
      </c>
      <c r="M58" s="213" t="s">
        <v>620</v>
      </c>
      <c r="N58" s="213" t="s">
        <v>5344</v>
      </c>
      <c r="O58" s="214" t="s">
        <v>334</v>
      </c>
      <c r="P58" s="214" t="s">
        <v>335</v>
      </c>
      <c r="Q58" s="213" t="s">
        <v>672</v>
      </c>
      <c r="R58" s="217" t="s">
        <v>677</v>
      </c>
      <c r="S58" s="213" t="s">
        <v>678</v>
      </c>
      <c r="T58" s="213" t="s">
        <v>679</v>
      </c>
    </row>
    <row r="59" spans="1:20">
      <c r="A59" s="218" t="s">
        <v>680</v>
      </c>
      <c r="B59" s="1631">
        <v>500</v>
      </c>
      <c r="C59" s="1631">
        <v>500</v>
      </c>
      <c r="D59" s="1631"/>
      <c r="E59" s="219">
        <f>(B59+C59)*5450/1000*Belarus</f>
        <v>5450</v>
      </c>
      <c r="F59" s="219">
        <f>(B59+C59)*5450/1000*Belarus</f>
        <v>5450</v>
      </c>
      <c r="G59" s="220">
        <f>(B59+C59)*5590/1000*Belarus</f>
        <v>5590</v>
      </c>
      <c r="H59" s="221">
        <f>(B59+C59)*5340/1000*Belarus</f>
        <v>5340</v>
      </c>
      <c r="I59" s="221">
        <f>(B59+C59)*5340/1000*Belarus</f>
        <v>5340</v>
      </c>
      <c r="J59" s="221">
        <f>(B59+C59)*5210/1000*Belarus</f>
        <v>5210</v>
      </c>
      <c r="K59" s="219">
        <f>(B59+C59)*6640/1000*Belarus</f>
        <v>6640</v>
      </c>
      <c r="L59" s="219">
        <f>(B59+C59)*5040/1000*Belarus</f>
        <v>5040</v>
      </c>
      <c r="M59" s="219">
        <f>(B59+C59)*5120/1000*Belarus</f>
        <v>5120</v>
      </c>
      <c r="N59" s="219" t="s">
        <v>369</v>
      </c>
      <c r="O59" s="221">
        <f>(B59+C59)*4650/1000*Belarus</f>
        <v>4650</v>
      </c>
      <c r="P59" s="221">
        <f>(B59+C59)*4510/1000*Belarus</f>
        <v>4510</v>
      </c>
      <c r="Q59" s="219">
        <f>(B59+C59)*4350/1000*Belarus</f>
        <v>4350</v>
      </c>
      <c r="R59" s="219">
        <f>(B59+C59)*3380/1000*Belarus</f>
        <v>3380</v>
      </c>
      <c r="S59" s="219">
        <f>(B59+C59)*2650/1000*Belarus</f>
        <v>2650</v>
      </c>
      <c r="T59" s="219">
        <f>(B59+C59)*2020/1000*Belarus</f>
        <v>2020</v>
      </c>
    </row>
    <row r="60" spans="1:20">
      <c r="A60" s="218" t="s">
        <v>681</v>
      </c>
      <c r="B60" s="1631"/>
      <c r="C60" s="1631"/>
      <c r="D60" s="1631"/>
      <c r="E60" s="219">
        <f t="shared" ref="E60:Q60" si="0">E59*1.15</f>
        <v>6267.4999999999991</v>
      </c>
      <c r="F60" s="219">
        <f t="shared" si="0"/>
        <v>6267.4999999999991</v>
      </c>
      <c r="G60" s="220">
        <f>G59*1.15</f>
        <v>6428.4999999999991</v>
      </c>
      <c r="H60" s="221">
        <f t="shared" si="0"/>
        <v>6140.9999999999991</v>
      </c>
      <c r="I60" s="221">
        <f t="shared" si="0"/>
        <v>6140.9999999999991</v>
      </c>
      <c r="J60" s="221">
        <f>J59*1.15</f>
        <v>5991.4999999999991</v>
      </c>
      <c r="K60" s="219">
        <f>K59*1.15</f>
        <v>7635.9999999999991</v>
      </c>
      <c r="L60" s="219">
        <f>L59*1.15</f>
        <v>5796</v>
      </c>
      <c r="M60" s="219">
        <f>M59*1.15</f>
        <v>5888</v>
      </c>
      <c r="N60" s="219" t="s">
        <v>369</v>
      </c>
      <c r="O60" s="221">
        <f t="shared" si="0"/>
        <v>5347.5</v>
      </c>
      <c r="P60" s="221">
        <f t="shared" si="0"/>
        <v>5186.5</v>
      </c>
      <c r="Q60" s="219">
        <f t="shared" si="0"/>
        <v>5002.5</v>
      </c>
      <c r="R60" s="219">
        <f>R59*1.15</f>
        <v>3886.9999999999995</v>
      </c>
      <c r="S60" s="219" t="s">
        <v>369</v>
      </c>
      <c r="T60" s="219" t="s">
        <v>369</v>
      </c>
    </row>
    <row r="61" spans="1:20">
      <c r="A61" s="218" t="s">
        <v>682</v>
      </c>
      <c r="B61" s="1631"/>
      <c r="C61" s="1631"/>
      <c r="D61" s="1631"/>
      <c r="E61" s="219">
        <f t="shared" ref="E61:Q61" si="1">E59*1.5</f>
        <v>8175</v>
      </c>
      <c r="F61" s="219">
        <f t="shared" si="1"/>
        <v>8175</v>
      </c>
      <c r="G61" s="220">
        <f>G59*1.5</f>
        <v>8385</v>
      </c>
      <c r="H61" s="221">
        <f t="shared" si="1"/>
        <v>8010</v>
      </c>
      <c r="I61" s="221">
        <f t="shared" si="1"/>
        <v>8010</v>
      </c>
      <c r="J61" s="221">
        <f>J59*1.5</f>
        <v>7815</v>
      </c>
      <c r="K61" s="219">
        <f>K59*1.5</f>
        <v>9960</v>
      </c>
      <c r="L61" s="219">
        <f>L59*1.5</f>
        <v>7560</v>
      </c>
      <c r="M61" s="219">
        <f>M59*1.5</f>
        <v>7680</v>
      </c>
      <c r="N61" s="219" t="s">
        <v>369</v>
      </c>
      <c r="O61" s="221">
        <f t="shared" si="1"/>
        <v>6975</v>
      </c>
      <c r="P61" s="221">
        <f t="shared" si="1"/>
        <v>6765</v>
      </c>
      <c r="Q61" s="219">
        <f t="shared" si="1"/>
        <v>6525</v>
      </c>
      <c r="R61" s="219">
        <f>R59*1.5</f>
        <v>5070</v>
      </c>
      <c r="S61" s="219" t="s">
        <v>369</v>
      </c>
      <c r="T61" s="219" t="s">
        <v>369</v>
      </c>
    </row>
    <row r="62" spans="1:20" ht="12" customHeight="1">
      <c r="A62" s="1632" t="s">
        <v>683</v>
      </c>
      <c r="B62" s="1632"/>
      <c r="C62" s="1632"/>
      <c r="D62" s="1632"/>
      <c r="E62" s="1632"/>
      <c r="F62" s="1632"/>
      <c r="G62" s="1632"/>
      <c r="H62" s="1632"/>
      <c r="I62" s="1632"/>
      <c r="J62" s="1632"/>
      <c r="K62" s="1632"/>
      <c r="L62" s="1632"/>
      <c r="M62" s="1632"/>
      <c r="N62" s="1632"/>
      <c r="O62" s="1632"/>
      <c r="P62" s="1632"/>
      <c r="Q62" s="1632"/>
      <c r="R62" s="1632"/>
      <c r="S62" s="1632"/>
      <c r="T62" s="1632"/>
    </row>
    <row r="63" spans="1:20" ht="12" customHeight="1">
      <c r="A63" s="1280" t="s">
        <v>684</v>
      </c>
      <c r="B63" s="1280"/>
      <c r="C63" s="1280"/>
      <c r="D63" s="1280"/>
      <c r="E63" s="1280"/>
      <c r="F63" s="1280"/>
      <c r="G63" s="1280"/>
      <c r="H63" s="1280"/>
      <c r="I63" s="1280"/>
      <c r="J63" s="1280"/>
      <c r="K63" s="1280"/>
      <c r="L63" s="1280"/>
      <c r="M63" s="1280"/>
      <c r="N63" s="1280"/>
      <c r="O63" s="1280"/>
      <c r="P63" s="1280"/>
      <c r="Q63" s="1280"/>
      <c r="R63" s="1280"/>
      <c r="S63" s="1280"/>
      <c r="T63" s="1280"/>
    </row>
    <row r="64" spans="1:20" ht="12" customHeight="1">
      <c r="A64" s="1280" t="s">
        <v>685</v>
      </c>
      <c r="B64" s="1280"/>
      <c r="C64" s="1280"/>
      <c r="D64" s="1280"/>
      <c r="E64" s="1280"/>
      <c r="F64" s="1280"/>
      <c r="G64" s="1280"/>
      <c r="H64" s="1280"/>
      <c r="I64" s="1280"/>
      <c r="J64" s="1280"/>
      <c r="K64" s="1280"/>
      <c r="L64" s="1280"/>
      <c r="M64" s="1280"/>
      <c r="N64" s="1280"/>
      <c r="O64" s="1280"/>
      <c r="P64" s="1280"/>
      <c r="Q64" s="1280"/>
      <c r="R64" s="1280"/>
      <c r="S64" s="1280"/>
      <c r="T64" s="1280"/>
    </row>
    <row r="65" spans="1:20" ht="12" customHeight="1">
      <c r="A65" s="1633" t="s">
        <v>5381</v>
      </c>
      <c r="B65" s="1633"/>
      <c r="C65" s="1633"/>
      <c r="D65" s="1633"/>
      <c r="E65" s="1633"/>
      <c r="F65" s="1633"/>
      <c r="G65" s="1633"/>
      <c r="H65" s="1633"/>
      <c r="I65" s="1633"/>
      <c r="J65" s="1633"/>
      <c r="K65" s="1633"/>
      <c r="L65" s="1633"/>
      <c r="M65" s="1633"/>
      <c r="N65" s="1633"/>
      <c r="O65" s="1633"/>
      <c r="P65" s="1633"/>
      <c r="Q65" s="1633"/>
      <c r="R65" s="1633"/>
      <c r="S65" s="1633"/>
      <c r="T65" s="1633"/>
    </row>
    <row r="66" spans="1:20" ht="12" customHeight="1"/>
    <row r="67" spans="1:20">
      <c r="A67" s="1491" t="s">
        <v>420</v>
      </c>
      <c r="B67" s="1491"/>
      <c r="C67" s="1491"/>
      <c r="D67" s="1491"/>
      <c r="E67" s="1491"/>
      <c r="F67" s="184"/>
      <c r="G67" s="1491" t="s">
        <v>575</v>
      </c>
      <c r="H67" s="1491"/>
      <c r="I67" s="1491"/>
      <c r="J67" s="1491"/>
      <c r="K67" s="1491"/>
      <c r="L67" s="1491"/>
      <c r="M67" s="1491"/>
      <c r="N67" s="1491"/>
      <c r="O67" s="1491"/>
      <c r="P67" s="1491"/>
      <c r="Q67" s="1491"/>
      <c r="R67" s="1491"/>
      <c r="S67" s="1491"/>
      <c r="T67" s="1491"/>
    </row>
    <row r="68" spans="1:20" ht="12.75" customHeight="1">
      <c r="A68" s="1303" t="s">
        <v>3720</v>
      </c>
      <c r="B68" s="1304"/>
      <c r="C68" s="1304"/>
      <c r="D68" s="1304"/>
      <c r="E68" s="1305"/>
      <c r="F68" s="184"/>
      <c r="G68" s="1279" t="s">
        <v>689</v>
      </c>
      <c r="H68" s="1279"/>
      <c r="I68" s="1279"/>
      <c r="J68" s="1279"/>
      <c r="K68" s="1279"/>
      <c r="L68" s="39" t="s">
        <v>690</v>
      </c>
      <c r="M68" s="1630" t="s">
        <v>691</v>
      </c>
      <c r="N68" s="1630"/>
      <c r="O68" s="1630"/>
      <c r="P68" s="1630"/>
      <c r="Q68" s="1630"/>
      <c r="R68" s="1630"/>
      <c r="S68" s="39" t="s">
        <v>692</v>
      </c>
      <c r="T68" s="39" t="s">
        <v>693</v>
      </c>
    </row>
    <row r="69" spans="1:20">
      <c r="A69" s="1303" t="s">
        <v>3721</v>
      </c>
      <c r="B69" s="1304"/>
      <c r="C69" s="1304"/>
      <c r="D69" s="1304"/>
      <c r="E69" s="1305"/>
      <c r="F69" s="184"/>
      <c r="G69" s="1628" t="s">
        <v>694</v>
      </c>
      <c r="H69" s="1628"/>
      <c r="I69" s="1628"/>
      <c r="J69" s="1628"/>
      <c r="K69" s="1628"/>
      <c r="L69" s="87">
        <f>ROUND(4*Belarus*(1-E100),2)</f>
        <v>4</v>
      </c>
      <c r="M69" s="1624" t="s">
        <v>713</v>
      </c>
      <c r="N69" s="1624"/>
      <c r="O69" s="1624"/>
      <c r="P69" s="1624"/>
      <c r="Q69" s="1624"/>
      <c r="R69" s="1624"/>
      <c r="S69" s="114">
        <f>T69</f>
        <v>80</v>
      </c>
      <c r="T69" s="114">
        <f>ROUND(80*Belarus*(1-E101),2)</f>
        <v>80</v>
      </c>
    </row>
    <row r="70" spans="1:20">
      <c r="A70" s="1427" t="s">
        <v>6769</v>
      </c>
      <c r="B70" s="1427"/>
      <c r="C70" s="1427"/>
      <c r="D70" s="1427"/>
      <c r="E70" s="1427"/>
      <c r="F70" s="184"/>
      <c r="G70" s="1628" t="s">
        <v>696</v>
      </c>
      <c r="H70" s="1628"/>
      <c r="I70" s="1628"/>
      <c r="J70" s="1628"/>
      <c r="K70" s="1628"/>
      <c r="L70" s="114">
        <f>ROUND(4*Belarus*(1-E100),2)</f>
        <v>4</v>
      </c>
      <c r="M70" s="1624" t="s">
        <v>715</v>
      </c>
      <c r="N70" s="1624"/>
      <c r="O70" s="1624"/>
      <c r="P70" s="1624"/>
      <c r="Q70" s="1624"/>
      <c r="R70" s="1624"/>
      <c r="S70" s="223">
        <f>T70/1.125</f>
        <v>85.333333333333329</v>
      </c>
      <c r="T70" s="114">
        <f>ROUND(96*Belarus*(1-E101),2)</f>
        <v>96</v>
      </c>
    </row>
    <row r="71" spans="1:20" ht="15" customHeight="1">
      <c r="A71" s="1427"/>
      <c r="B71" s="1427"/>
      <c r="C71" s="1427"/>
      <c r="D71" s="1427"/>
      <c r="E71" s="1427"/>
      <c r="F71" s="184"/>
      <c r="G71" s="1628" t="s">
        <v>699</v>
      </c>
      <c r="H71" s="1628"/>
      <c r="I71" s="1628"/>
      <c r="J71" s="1628"/>
      <c r="K71" s="1628"/>
      <c r="L71" s="87">
        <f>ROUND(5.5*Belarus*(1-E100),2)</f>
        <v>5.5</v>
      </c>
      <c r="M71" s="115" t="s">
        <v>707</v>
      </c>
      <c r="N71" s="116"/>
      <c r="O71" s="116"/>
      <c r="P71" s="116"/>
      <c r="Q71" s="116"/>
      <c r="R71" s="117"/>
      <c r="S71" s="223">
        <f>T71/1.1</f>
        <v>45.454545454545453</v>
      </c>
      <c r="T71" s="114">
        <f>ROUND(50*Belarus*(1-E101),2)</f>
        <v>50</v>
      </c>
    </row>
    <row r="72" spans="1:20" ht="25.5" customHeight="1">
      <c r="A72" s="1625" t="s">
        <v>6660</v>
      </c>
      <c r="B72" s="1626"/>
      <c r="C72" s="1626"/>
      <c r="D72" s="1626"/>
      <c r="E72" s="1627"/>
      <c r="F72" s="184"/>
      <c r="G72" s="1628" t="s">
        <v>701</v>
      </c>
      <c r="H72" s="1628"/>
      <c r="I72" s="1628"/>
      <c r="J72" s="1628"/>
      <c r="K72" s="1628"/>
      <c r="L72" s="114">
        <f>ROUND(6.8*Belarus*(1-E100),2)</f>
        <v>6.8</v>
      </c>
      <c r="M72" s="115" t="s">
        <v>708</v>
      </c>
      <c r="N72" s="116"/>
      <c r="O72" s="116"/>
      <c r="P72" s="116"/>
      <c r="Q72" s="116"/>
      <c r="R72" s="117"/>
      <c r="S72" s="114">
        <f>T72</f>
        <v>60</v>
      </c>
      <c r="T72" s="114">
        <f>ROUND(60*Belarus*(1-E101),2)</f>
        <v>60</v>
      </c>
    </row>
    <row r="73" spans="1:20">
      <c r="A73" s="1351" t="s">
        <v>3722</v>
      </c>
      <c r="B73" s="1351"/>
      <c r="C73" s="1351"/>
      <c r="D73" s="1351"/>
      <c r="E73" s="1351"/>
      <c r="F73" s="184"/>
      <c r="G73" s="1628" t="s">
        <v>704</v>
      </c>
      <c r="H73" s="1628"/>
      <c r="I73" s="1628"/>
      <c r="J73" s="1628"/>
      <c r="K73" s="1628"/>
      <c r="L73" s="178">
        <v>120</v>
      </c>
      <c r="M73" s="115" t="s">
        <v>710</v>
      </c>
      <c r="N73" s="116"/>
      <c r="O73" s="116"/>
      <c r="P73" s="116"/>
      <c r="Q73" s="116"/>
      <c r="R73" s="117"/>
      <c r="S73" s="114">
        <f>T73</f>
        <v>80</v>
      </c>
      <c r="T73" s="114">
        <f>ROUND(80*Belarus*(1-E101),2)</f>
        <v>80</v>
      </c>
    </row>
    <row r="74" spans="1:20">
      <c r="A74" s="1351"/>
      <c r="B74" s="1351"/>
      <c r="C74" s="1351"/>
      <c r="D74" s="1351"/>
      <c r="E74" s="1351"/>
      <c r="F74" s="184"/>
      <c r="G74" s="1629"/>
      <c r="H74" s="1629"/>
      <c r="I74" s="1629"/>
      <c r="J74" s="1629"/>
      <c r="K74" s="1629"/>
      <c r="L74" s="107" t="s">
        <v>687</v>
      </c>
      <c r="M74" s="115" t="s">
        <v>712</v>
      </c>
      <c r="N74" s="116"/>
      <c r="O74" s="116"/>
      <c r="P74" s="116"/>
      <c r="Q74" s="116"/>
      <c r="R74" s="117"/>
      <c r="S74" s="223">
        <f>T74/0.85</f>
        <v>111.76470588235294</v>
      </c>
      <c r="T74" s="114">
        <f>ROUND(95*Belarus*(1-E101),2)</f>
        <v>95</v>
      </c>
    </row>
    <row r="75" spans="1:20">
      <c r="A75" s="1303" t="s">
        <v>3715</v>
      </c>
      <c r="B75" s="1304"/>
      <c r="C75" s="1304"/>
      <c r="D75" s="1304"/>
      <c r="E75" s="1305"/>
      <c r="G75" s="1405" t="s">
        <v>688</v>
      </c>
      <c r="H75" s="1405"/>
      <c r="I75" s="1405"/>
      <c r="J75" s="1405"/>
      <c r="K75" s="1405"/>
      <c r="L75" s="1295">
        <f>160*Belarus</f>
        <v>160</v>
      </c>
      <c r="M75" s="1406" t="s">
        <v>714</v>
      </c>
      <c r="N75" s="1407"/>
      <c r="O75" s="1407"/>
      <c r="P75" s="1407"/>
      <c r="Q75" s="1407"/>
      <c r="R75" s="1408"/>
      <c r="S75" s="223">
        <f>T75/0.75</f>
        <v>134.66666666666666</v>
      </c>
      <c r="T75" s="114">
        <f>ROUND(101*Belarus*(1-E101),2)</f>
        <v>101</v>
      </c>
    </row>
    <row r="76" spans="1:20">
      <c r="A76" s="1303" t="s">
        <v>709</v>
      </c>
      <c r="B76" s="1304"/>
      <c r="C76" s="1304"/>
      <c r="D76" s="1304"/>
      <c r="E76" s="1305"/>
      <c r="G76" s="1405"/>
      <c r="H76" s="1405"/>
      <c r="I76" s="1405"/>
      <c r="J76" s="1405"/>
      <c r="K76" s="1405"/>
      <c r="L76" s="1295"/>
      <c r="M76" s="1624" t="s">
        <v>695</v>
      </c>
      <c r="N76" s="1624"/>
      <c r="O76" s="1624"/>
      <c r="P76" s="1624"/>
      <c r="Q76" s="1624"/>
      <c r="R76" s="1624"/>
      <c r="S76" s="114">
        <f>T76/2</f>
        <v>110</v>
      </c>
      <c r="T76" s="114">
        <f>ROUND(220*Belarus*(1-E101),2)</f>
        <v>220</v>
      </c>
    </row>
    <row r="77" spans="1:20" ht="12.75" customHeight="1">
      <c r="A77" s="1303" t="s">
        <v>711</v>
      </c>
      <c r="B77" s="1304"/>
      <c r="C77" s="1304"/>
      <c r="D77" s="1304"/>
      <c r="E77" s="1305"/>
      <c r="G77" s="1578" t="s">
        <v>6532</v>
      </c>
      <c r="H77" s="1578"/>
      <c r="I77" s="1578"/>
      <c r="J77" s="1578"/>
      <c r="K77" s="1578"/>
      <c r="L77" s="87">
        <f>15*Belarus</f>
        <v>15</v>
      </c>
      <c r="M77" s="1406" t="s">
        <v>697</v>
      </c>
      <c r="N77" s="1407"/>
      <c r="O77" s="1407"/>
      <c r="P77" s="1407"/>
      <c r="Q77" s="1407"/>
      <c r="R77" s="1408"/>
      <c r="S77" s="114">
        <f>T77/2</f>
        <v>130</v>
      </c>
      <c r="T77" s="114">
        <f>ROUND(260*Belarus*(1-E101),2)</f>
        <v>260</v>
      </c>
    </row>
    <row r="78" spans="1:20">
      <c r="A78" s="1332" t="s">
        <v>492</v>
      </c>
      <c r="B78" s="1332"/>
      <c r="C78" s="1332"/>
      <c r="D78" s="1332"/>
      <c r="E78" s="1332"/>
      <c r="G78" s="1621" t="s">
        <v>698</v>
      </c>
      <c r="H78" s="1622"/>
      <c r="I78" s="1622"/>
      <c r="J78" s="1622"/>
      <c r="K78" s="1623"/>
      <c r="L78" s="222" t="s">
        <v>690</v>
      </c>
      <c r="M78" s="1406" t="s">
        <v>702</v>
      </c>
      <c r="N78" s="1407"/>
      <c r="O78" s="1407"/>
      <c r="P78" s="1407"/>
      <c r="Q78" s="1407"/>
      <c r="R78" s="1408"/>
      <c r="S78" s="114">
        <f>T78/2</f>
        <v>118</v>
      </c>
      <c r="T78" s="114">
        <f>ROUND(236*Belarus*(1-E101),2)</f>
        <v>236</v>
      </c>
    </row>
    <row r="79" spans="1:20">
      <c r="A79" s="1332"/>
      <c r="B79" s="1332"/>
      <c r="C79" s="1332"/>
      <c r="D79" s="1332"/>
      <c r="E79" s="1332"/>
      <c r="G79" s="1578" t="s">
        <v>700</v>
      </c>
      <c r="H79" s="1578"/>
      <c r="I79" s="1578"/>
      <c r="J79" s="1578"/>
      <c r="K79" s="1578"/>
      <c r="L79" s="114">
        <f>360*Belarus</f>
        <v>360</v>
      </c>
      <c r="M79" s="1406" t="s">
        <v>705</v>
      </c>
      <c r="N79" s="1407"/>
      <c r="O79" s="1407"/>
      <c r="P79" s="1407"/>
      <c r="Q79" s="1407"/>
      <c r="R79" s="1408"/>
      <c r="S79" s="114">
        <f>T79/2</f>
        <v>135</v>
      </c>
      <c r="T79" s="114">
        <f>ROUND(270*Belarus*(1-E101),2)</f>
        <v>270</v>
      </c>
    </row>
    <row r="80" spans="1:20" ht="12.75" customHeight="1">
      <c r="G80" s="1578" t="s">
        <v>703</v>
      </c>
      <c r="H80" s="1578"/>
      <c r="I80" s="1578"/>
      <c r="J80" s="1578"/>
      <c r="K80" s="1578"/>
      <c r="L80" s="87">
        <f>820*Belarus</f>
        <v>820</v>
      </c>
      <c r="M80" s="1406" t="s">
        <v>706</v>
      </c>
      <c r="N80" s="1407"/>
      <c r="O80" s="1407"/>
      <c r="P80" s="1407"/>
      <c r="Q80" s="1407"/>
      <c r="R80" s="1408"/>
      <c r="S80" s="114">
        <f>T80</f>
        <v>48</v>
      </c>
      <c r="T80" s="114">
        <f>ROUND(48*Belarus*(1-E101),2)</f>
        <v>48</v>
      </c>
    </row>
    <row r="82" spans="1:20">
      <c r="A82" s="1491" t="s">
        <v>719</v>
      </c>
      <c r="B82" s="1491"/>
      <c r="C82" s="1491"/>
      <c r="D82" s="1491"/>
      <c r="E82" s="1491"/>
      <c r="F82" s="1491"/>
      <c r="G82" s="1491"/>
      <c r="H82" s="1491"/>
      <c r="I82" s="1452" t="s">
        <v>720</v>
      </c>
      <c r="J82" s="1477"/>
      <c r="K82" s="1477"/>
      <c r="L82" s="1477"/>
      <c r="M82" s="1477"/>
      <c r="N82" s="1477"/>
      <c r="O82" s="1477"/>
      <c r="P82" s="1477"/>
      <c r="Q82" s="1477"/>
      <c r="R82" s="1477"/>
      <c r="S82" s="1477"/>
      <c r="T82" s="1478"/>
    </row>
    <row r="83" spans="1:20" ht="26.25" customHeight="1">
      <c r="A83" s="224" t="s">
        <v>721</v>
      </c>
      <c r="B83" s="1491" t="s">
        <v>722</v>
      </c>
      <c r="C83" s="1491"/>
      <c r="D83" s="1388" t="s">
        <v>723</v>
      </c>
      <c r="E83" s="1388"/>
      <c r="F83" s="1388"/>
      <c r="G83" s="1491" t="s">
        <v>724</v>
      </c>
      <c r="H83" s="1491"/>
      <c r="I83" s="1479" t="s">
        <v>725</v>
      </c>
      <c r="J83" s="1517"/>
      <c r="K83" s="1480"/>
      <c r="L83" s="1479" t="s">
        <v>3723</v>
      </c>
      <c r="M83" s="1480"/>
      <c r="N83" s="155"/>
      <c r="O83" s="1501" t="s">
        <v>726</v>
      </c>
      <c r="P83" s="1585"/>
      <c r="Q83" s="1585"/>
      <c r="R83" s="1502"/>
      <c r="S83" s="1479" t="s">
        <v>3723</v>
      </c>
      <c r="T83" s="1480"/>
    </row>
    <row r="84" spans="1:20" ht="12.75" customHeight="1">
      <c r="A84" s="225" t="s">
        <v>727</v>
      </c>
      <c r="B84" s="1618" t="s">
        <v>728</v>
      </c>
      <c r="C84" s="1618"/>
      <c r="D84" s="1620" t="s">
        <v>729</v>
      </c>
      <c r="E84" s="1620"/>
      <c r="F84" s="1620"/>
      <c r="G84" s="1618" t="s">
        <v>730</v>
      </c>
      <c r="H84" s="1618"/>
      <c r="I84" s="1619" t="s">
        <v>727</v>
      </c>
      <c r="J84" s="1619"/>
      <c r="K84" s="1619"/>
      <c r="L84" s="1618" t="s">
        <v>731</v>
      </c>
      <c r="M84" s="1618"/>
      <c r="N84" s="132"/>
      <c r="O84" s="1619" t="s">
        <v>732</v>
      </c>
      <c r="P84" s="1619"/>
      <c r="Q84" s="1619"/>
      <c r="R84" s="1619"/>
      <c r="S84" s="1618" t="s">
        <v>733</v>
      </c>
      <c r="T84" s="1618"/>
    </row>
    <row r="85" spans="1:20">
      <c r="A85" s="227" t="s">
        <v>734</v>
      </c>
      <c r="B85" s="1618" t="s">
        <v>735</v>
      </c>
      <c r="C85" s="1618"/>
      <c r="D85" s="1620" t="s">
        <v>736</v>
      </c>
      <c r="E85" s="1620"/>
      <c r="F85" s="1620"/>
      <c r="G85" s="1618" t="s">
        <v>737</v>
      </c>
      <c r="H85" s="1618"/>
      <c r="I85" s="1619" t="s">
        <v>734</v>
      </c>
      <c r="J85" s="1619"/>
      <c r="K85" s="1619"/>
      <c r="L85" s="1618" t="s">
        <v>733</v>
      </c>
      <c r="M85" s="1618"/>
      <c r="N85" s="132"/>
      <c r="O85" s="1619" t="s">
        <v>738</v>
      </c>
      <c r="P85" s="1619"/>
      <c r="Q85" s="1619"/>
      <c r="R85" s="1619"/>
      <c r="S85" s="1618" t="s">
        <v>739</v>
      </c>
      <c r="T85" s="1618"/>
    </row>
    <row r="86" spans="1:20">
      <c r="A86" s="225" t="s">
        <v>740</v>
      </c>
      <c r="B86" s="1618" t="s">
        <v>741</v>
      </c>
      <c r="C86" s="1618"/>
      <c r="D86" s="1620" t="s">
        <v>732</v>
      </c>
      <c r="E86" s="1620"/>
      <c r="F86" s="1620"/>
      <c r="G86" s="1618" t="s">
        <v>742</v>
      </c>
      <c r="H86" s="1618"/>
      <c r="I86" s="1619" t="s">
        <v>740</v>
      </c>
      <c r="J86" s="1619"/>
      <c r="K86" s="1619"/>
      <c r="L86" s="1618">
        <v>1015</v>
      </c>
      <c r="M86" s="1618"/>
      <c r="N86" s="132"/>
      <c r="O86" s="1619" t="s">
        <v>729</v>
      </c>
      <c r="P86" s="1619"/>
      <c r="Q86" s="1619"/>
      <c r="R86" s="1619"/>
      <c r="S86" s="1618" t="s">
        <v>731</v>
      </c>
      <c r="T86" s="1618"/>
    </row>
    <row r="87" spans="1:20">
      <c r="A87" s="227" t="s">
        <v>743</v>
      </c>
      <c r="B87" s="1618" t="s">
        <v>744</v>
      </c>
      <c r="C87" s="1618"/>
      <c r="D87" s="1620" t="s">
        <v>738</v>
      </c>
      <c r="E87" s="1620"/>
      <c r="F87" s="1620"/>
      <c r="G87" s="1618" t="s">
        <v>745</v>
      </c>
      <c r="H87" s="1618"/>
      <c r="I87" s="1619" t="s">
        <v>743</v>
      </c>
      <c r="J87" s="1619"/>
      <c r="K87" s="1619"/>
      <c r="L87" s="1618">
        <v>8017</v>
      </c>
      <c r="M87" s="1618"/>
      <c r="N87" s="132"/>
      <c r="O87" s="1619" t="s">
        <v>736</v>
      </c>
      <c r="P87" s="1619"/>
      <c r="Q87" s="1619"/>
      <c r="R87" s="1619"/>
      <c r="S87" s="1618">
        <v>8017</v>
      </c>
      <c r="T87" s="1618"/>
    </row>
    <row r="88" spans="1:20">
      <c r="A88" s="225" t="s">
        <v>746</v>
      </c>
      <c r="B88" s="1618" t="s">
        <v>747</v>
      </c>
      <c r="C88" s="1618"/>
      <c r="I88" s="1619" t="s">
        <v>746</v>
      </c>
      <c r="J88" s="1619"/>
      <c r="K88" s="1619"/>
      <c r="L88" s="1618" t="s">
        <v>748</v>
      </c>
      <c r="M88" s="1618"/>
      <c r="N88" s="132"/>
      <c r="O88" s="1619" t="s">
        <v>749</v>
      </c>
      <c r="P88" s="1619"/>
      <c r="Q88" s="1619"/>
      <c r="R88" s="1619"/>
      <c r="S88" s="1618">
        <v>8004</v>
      </c>
      <c r="T88" s="1618"/>
    </row>
    <row r="89" spans="1:20">
      <c r="A89" s="227" t="s">
        <v>749</v>
      </c>
      <c r="B89" s="1618" t="s">
        <v>730</v>
      </c>
      <c r="C89" s="1618"/>
      <c r="I89" s="1619" t="s">
        <v>750</v>
      </c>
      <c r="J89" s="1619"/>
      <c r="K89" s="1619"/>
      <c r="L89" s="1618">
        <v>8017</v>
      </c>
      <c r="M89" s="1618"/>
      <c r="N89" s="132"/>
      <c r="O89" s="1619" t="s">
        <v>751</v>
      </c>
      <c r="P89" s="1619"/>
      <c r="Q89" s="1619"/>
      <c r="R89" s="1619"/>
      <c r="S89" s="1618">
        <v>8004</v>
      </c>
      <c r="T89" s="1618"/>
    </row>
    <row r="90" spans="1:20">
      <c r="A90" s="227" t="s">
        <v>751</v>
      </c>
      <c r="B90" s="1618" t="s">
        <v>730</v>
      </c>
      <c r="C90" s="1618"/>
      <c r="I90" s="722"/>
      <c r="J90" s="722"/>
      <c r="K90" s="722"/>
      <c r="L90" s="722"/>
      <c r="M90" s="722"/>
      <c r="N90" s="722"/>
      <c r="O90" s="722"/>
      <c r="P90" s="722"/>
      <c r="Q90" s="722"/>
      <c r="R90" s="722"/>
      <c r="S90" s="722"/>
      <c r="T90" s="722"/>
    </row>
    <row r="91" spans="1:20">
      <c r="B91" s="228"/>
      <c r="C91" s="228"/>
      <c r="D91" s="228"/>
      <c r="I91" s="54"/>
      <c r="J91" s="54"/>
      <c r="K91" s="54"/>
      <c r="L91" s="54"/>
      <c r="M91" s="54"/>
      <c r="N91" s="54"/>
      <c r="O91" s="54"/>
      <c r="P91" s="54"/>
      <c r="Q91" s="54"/>
      <c r="R91" s="54"/>
      <c r="S91" s="54"/>
      <c r="T91" s="54"/>
    </row>
    <row r="95" spans="1:20" ht="12.75" customHeight="1">
      <c r="A95" s="1595" t="s">
        <v>508</v>
      </c>
      <c r="B95" s="1595"/>
      <c r="C95" s="1595"/>
      <c r="D95" s="1595"/>
      <c r="E95" s="1339" t="s">
        <v>509</v>
      </c>
      <c r="F95" s="1339"/>
      <c r="G95" s="1339"/>
      <c r="H95" s="1339"/>
      <c r="I95" s="1339"/>
      <c r="J95" s="1339"/>
      <c r="K95" s="1307" t="s">
        <v>619</v>
      </c>
      <c r="L95" s="1307" t="s">
        <v>323</v>
      </c>
      <c r="M95" s="1307" t="s">
        <v>620</v>
      </c>
      <c r="N95" s="1340" t="s">
        <v>5344</v>
      </c>
      <c r="O95" s="1340" t="s">
        <v>334</v>
      </c>
      <c r="P95" s="1340" t="s">
        <v>335</v>
      </c>
      <c r="Q95" s="1595" t="s">
        <v>325</v>
      </c>
      <c r="R95" s="1595"/>
      <c r="S95" s="1595"/>
      <c r="T95" s="1595"/>
    </row>
    <row r="96" spans="1:20" ht="12.75" customHeight="1">
      <c r="A96" s="1595"/>
      <c r="B96" s="1595"/>
      <c r="C96" s="1595"/>
      <c r="D96" s="1595"/>
      <c r="E96" s="1339"/>
      <c r="F96" s="1339"/>
      <c r="G96" s="1339"/>
      <c r="H96" s="1339"/>
      <c r="I96" s="1339"/>
      <c r="J96" s="1339"/>
      <c r="K96" s="1310"/>
      <c r="L96" s="1310"/>
      <c r="M96" s="1310"/>
      <c r="N96" s="1341"/>
      <c r="O96" s="1341"/>
      <c r="P96" s="1341"/>
      <c r="Q96" s="145" t="s">
        <v>627</v>
      </c>
      <c r="R96" s="1595">
        <v>0.45</v>
      </c>
      <c r="S96" s="1595"/>
      <c r="T96" s="145">
        <v>0.4</v>
      </c>
    </row>
    <row r="97" spans="1:20">
      <c r="A97" s="1670" t="s">
        <v>520</v>
      </c>
      <c r="B97" s="1671"/>
      <c r="C97" s="1671"/>
      <c r="D97" s="1672"/>
      <c r="E97" s="1319">
        <v>0</v>
      </c>
      <c r="F97" s="1320"/>
      <c r="G97" s="1320"/>
      <c r="H97" s="1320"/>
      <c r="I97" s="1320"/>
      <c r="J97" s="1321"/>
      <c r="K97" s="149">
        <v>0</v>
      </c>
      <c r="L97" s="149">
        <v>0</v>
      </c>
      <c r="M97" s="149">
        <v>0</v>
      </c>
      <c r="N97" s="148">
        <v>0</v>
      </c>
      <c r="O97" s="148">
        <v>0</v>
      </c>
      <c r="P97" s="148">
        <v>0</v>
      </c>
      <c r="Q97" s="148">
        <v>0</v>
      </c>
      <c r="R97" s="1661">
        <v>0</v>
      </c>
      <c r="S97" s="1662"/>
      <c r="T97" s="129">
        <v>0</v>
      </c>
    </row>
    <row r="98" spans="1:20">
      <c r="A98" s="1670" t="s">
        <v>752</v>
      </c>
      <c r="B98" s="1671"/>
      <c r="C98" s="1671"/>
      <c r="D98" s="1672"/>
      <c r="E98" s="1663">
        <v>0</v>
      </c>
      <c r="F98" s="1664"/>
      <c r="G98" s="1664"/>
      <c r="H98" s="1664"/>
      <c r="I98" s="1664"/>
      <c r="J98" s="1664"/>
      <c r="K98" s="1664"/>
      <c r="L98" s="1664"/>
      <c r="M98" s="1665"/>
      <c r="N98" s="148">
        <v>0</v>
      </c>
      <c r="O98" s="148">
        <v>0</v>
      </c>
      <c r="P98" s="148">
        <v>0</v>
      </c>
      <c r="Q98" s="149">
        <v>0</v>
      </c>
      <c r="R98" s="1661">
        <v>0</v>
      </c>
      <c r="S98" s="1662"/>
      <c r="T98" s="129">
        <v>0</v>
      </c>
    </row>
    <row r="99" spans="1:20">
      <c r="A99" s="1670" t="s">
        <v>666</v>
      </c>
      <c r="B99" s="1671"/>
      <c r="C99" s="1671"/>
      <c r="D99" s="1672"/>
      <c r="E99" s="1661">
        <v>0</v>
      </c>
      <c r="F99" s="1669"/>
      <c r="G99" s="1669"/>
      <c r="H99" s="1669"/>
      <c r="I99" s="1669"/>
      <c r="J99" s="1669"/>
      <c r="K99" s="1669"/>
      <c r="L99" s="1669"/>
      <c r="M99" s="1669"/>
      <c r="N99" s="1669"/>
      <c r="O99" s="1669"/>
      <c r="P99" s="1669"/>
      <c r="Q99" s="1669"/>
      <c r="R99" s="1669"/>
      <c r="S99" s="1669"/>
      <c r="T99" s="1662"/>
    </row>
    <row r="100" spans="1:20">
      <c r="A100" s="1670" t="s">
        <v>689</v>
      </c>
      <c r="B100" s="1671"/>
      <c r="C100" s="1671"/>
      <c r="D100" s="1672"/>
      <c r="E100" s="1661">
        <v>0</v>
      </c>
      <c r="F100" s="1669"/>
      <c r="G100" s="1669"/>
      <c r="H100" s="1669"/>
      <c r="I100" s="1669"/>
      <c r="J100" s="1669"/>
      <c r="K100" s="1669"/>
      <c r="L100" s="1669"/>
      <c r="M100" s="1669"/>
      <c r="N100" s="1669"/>
      <c r="O100" s="1669"/>
      <c r="P100" s="1669"/>
      <c r="Q100" s="1669"/>
      <c r="R100" s="1669"/>
      <c r="S100" s="1669"/>
      <c r="T100" s="1662"/>
    </row>
    <row r="101" spans="1:20">
      <c r="A101" s="1673" t="s">
        <v>691</v>
      </c>
      <c r="B101" s="1673"/>
      <c r="C101" s="1673"/>
      <c r="D101" s="1673"/>
      <c r="E101" s="1661">
        <v>0</v>
      </c>
      <c r="F101" s="1669"/>
      <c r="G101" s="1669"/>
      <c r="H101" s="1669"/>
      <c r="I101" s="1669"/>
      <c r="J101" s="1669"/>
      <c r="K101" s="1669"/>
      <c r="L101" s="1669"/>
      <c r="M101" s="1669"/>
      <c r="N101" s="1669"/>
      <c r="O101" s="1669"/>
      <c r="P101" s="1669"/>
      <c r="Q101" s="1669"/>
      <c r="R101" s="1669"/>
      <c r="S101" s="1669"/>
      <c r="T101" s="1662"/>
    </row>
  </sheetData>
  <sheetProtection selectLockedCells="1" selectUnlockedCells="1"/>
  <mergeCells count="209">
    <mergeCell ref="E99:T99"/>
    <mergeCell ref="E100:T100"/>
    <mergeCell ref="E101:T101"/>
    <mergeCell ref="A95:D96"/>
    <mergeCell ref="A97:D97"/>
    <mergeCell ref="A98:D98"/>
    <mergeCell ref="A99:D99"/>
    <mergeCell ref="A100:D100"/>
    <mergeCell ref="A101:D101"/>
    <mergeCell ref="Q95:T95"/>
    <mergeCell ref="P95:P96"/>
    <mergeCell ref="O95:O96"/>
    <mergeCell ref="N95:N96"/>
    <mergeCell ref="M95:M96"/>
    <mergeCell ref="K95:K96"/>
    <mergeCell ref="E95:J96"/>
    <mergeCell ref="L95:L96"/>
    <mergeCell ref="E97:J97"/>
    <mergeCell ref="R96:S96"/>
    <mergeCell ref="R97:S97"/>
    <mergeCell ref="R98:S98"/>
    <mergeCell ref="E98:M98"/>
    <mergeCell ref="A1:D1"/>
    <mergeCell ref="A2:M2"/>
    <mergeCell ref="S2:T2"/>
    <mergeCell ref="S3:T3"/>
    <mergeCell ref="A4:A6"/>
    <mergeCell ref="K5:K6"/>
    <mergeCell ref="L5:L6"/>
    <mergeCell ref="M5:M6"/>
    <mergeCell ref="O5:P5"/>
    <mergeCell ref="Q5:T5"/>
    <mergeCell ref="Q6:T6"/>
    <mergeCell ref="N5:N6"/>
    <mergeCell ref="A7:D7"/>
    <mergeCell ref="Q7:T7"/>
    <mergeCell ref="A8:D8"/>
    <mergeCell ref="R8:S8"/>
    <mergeCell ref="B4:B6"/>
    <mergeCell ref="C4:C6"/>
    <mergeCell ref="D4:D6"/>
    <mergeCell ref="E4:T4"/>
    <mergeCell ref="E5:F5"/>
    <mergeCell ref="G5:J5"/>
    <mergeCell ref="R12:T12"/>
    <mergeCell ref="R13:T13"/>
    <mergeCell ref="A14:A17"/>
    <mergeCell ref="R14:T14"/>
    <mergeCell ref="R15:T15"/>
    <mergeCell ref="R16:T16"/>
    <mergeCell ref="R17:T17"/>
    <mergeCell ref="A18:B18"/>
    <mergeCell ref="R18:T18"/>
    <mergeCell ref="A19:B19"/>
    <mergeCell ref="R19:T19"/>
    <mergeCell ref="A20:B20"/>
    <mergeCell ref="R20:T20"/>
    <mergeCell ref="A21:B21"/>
    <mergeCell ref="R21:T21"/>
    <mergeCell ref="A22:B22"/>
    <mergeCell ref="R22:T22"/>
    <mergeCell ref="A23:B23"/>
    <mergeCell ref="R23:T23"/>
    <mergeCell ref="A24:B24"/>
    <mergeCell ref="R24:T24"/>
    <mergeCell ref="A25:A29"/>
    <mergeCell ref="R25:T25"/>
    <mergeCell ref="R26:T26"/>
    <mergeCell ref="R27:T27"/>
    <mergeCell ref="R28:T28"/>
    <mergeCell ref="R29:T29"/>
    <mergeCell ref="A30:A31"/>
    <mergeCell ref="R30:T30"/>
    <mergeCell ref="R31:T31"/>
    <mergeCell ref="R32:T32"/>
    <mergeCell ref="A33:B33"/>
    <mergeCell ref="R33:T33"/>
    <mergeCell ref="A34:B34"/>
    <mergeCell ref="R34:T34"/>
    <mergeCell ref="A35:B35"/>
    <mergeCell ref="R35:T35"/>
    <mergeCell ref="A36:B36"/>
    <mergeCell ref="R36:T36"/>
    <mergeCell ref="A37:B37"/>
    <mergeCell ref="R37:T37"/>
    <mergeCell ref="A38:B38"/>
    <mergeCell ref="R38:T38"/>
    <mergeCell ref="A39:B39"/>
    <mergeCell ref="R39:T39"/>
    <mergeCell ref="A40:B40"/>
    <mergeCell ref="R40:T40"/>
    <mergeCell ref="A41:B41"/>
    <mergeCell ref="R41:T41"/>
    <mergeCell ref="A42:B42"/>
    <mergeCell ref="R42:T42"/>
    <mergeCell ref="A44:B44"/>
    <mergeCell ref="R44:T44"/>
    <mergeCell ref="A46:B46"/>
    <mergeCell ref="R46:T46"/>
    <mergeCell ref="A49:B49"/>
    <mergeCell ref="R49:T49"/>
    <mergeCell ref="A45:B45"/>
    <mergeCell ref="R45:T45"/>
    <mergeCell ref="A47:B47"/>
    <mergeCell ref="R47:T47"/>
    <mergeCell ref="A50:B50"/>
    <mergeCell ref="R50:T50"/>
    <mergeCell ref="A51:B51"/>
    <mergeCell ref="R51:T51"/>
    <mergeCell ref="A52:T52"/>
    <mergeCell ref="A53:A54"/>
    <mergeCell ref="B53:D54"/>
    <mergeCell ref="E53:T53"/>
    <mergeCell ref="B55:D55"/>
    <mergeCell ref="A56:T56"/>
    <mergeCell ref="A57:A58"/>
    <mergeCell ref="B57:B58"/>
    <mergeCell ref="C57:D58"/>
    <mergeCell ref="E57:R57"/>
    <mergeCell ref="S57:T57"/>
    <mergeCell ref="B59:B61"/>
    <mergeCell ref="C59:D61"/>
    <mergeCell ref="A62:T62"/>
    <mergeCell ref="A63:T63"/>
    <mergeCell ref="A64:T64"/>
    <mergeCell ref="A65:T65"/>
    <mergeCell ref="G74:K74"/>
    <mergeCell ref="A67:E67"/>
    <mergeCell ref="G67:T67"/>
    <mergeCell ref="A68:E68"/>
    <mergeCell ref="G68:K68"/>
    <mergeCell ref="M68:R68"/>
    <mergeCell ref="A69:E69"/>
    <mergeCell ref="G69:K69"/>
    <mergeCell ref="M69:R69"/>
    <mergeCell ref="G70:K70"/>
    <mergeCell ref="M70:R70"/>
    <mergeCell ref="A72:E72"/>
    <mergeCell ref="G71:K71"/>
    <mergeCell ref="G72:K72"/>
    <mergeCell ref="G73:K73"/>
    <mergeCell ref="A76:E76"/>
    <mergeCell ref="G75:K76"/>
    <mergeCell ref="L75:L76"/>
    <mergeCell ref="M75:R75"/>
    <mergeCell ref="A73:E74"/>
    <mergeCell ref="G77:K77"/>
    <mergeCell ref="M77:R77"/>
    <mergeCell ref="A77:E77"/>
    <mergeCell ref="M76:R76"/>
    <mergeCell ref="A75:E75"/>
    <mergeCell ref="L83:M83"/>
    <mergeCell ref="O83:R83"/>
    <mergeCell ref="A78:E79"/>
    <mergeCell ref="I83:K83"/>
    <mergeCell ref="S83:T83"/>
    <mergeCell ref="G78:K78"/>
    <mergeCell ref="M78:R78"/>
    <mergeCell ref="G79:K79"/>
    <mergeCell ref="M79:R79"/>
    <mergeCell ref="G80:K80"/>
    <mergeCell ref="M80:R80"/>
    <mergeCell ref="D84:F84"/>
    <mergeCell ref="G84:H84"/>
    <mergeCell ref="I84:K84"/>
    <mergeCell ref="L84:M84"/>
    <mergeCell ref="O84:R84"/>
    <mergeCell ref="A82:H82"/>
    <mergeCell ref="I82:T82"/>
    <mergeCell ref="B83:C83"/>
    <mergeCell ref="D83:F83"/>
    <mergeCell ref="G83:H83"/>
    <mergeCell ref="O87:R87"/>
    <mergeCell ref="S84:T84"/>
    <mergeCell ref="S86:T86"/>
    <mergeCell ref="B85:C85"/>
    <mergeCell ref="D85:F85"/>
    <mergeCell ref="G85:H85"/>
    <mergeCell ref="I85:K85"/>
    <mergeCell ref="L85:M85"/>
    <mergeCell ref="O85:R85"/>
    <mergeCell ref="B84:C84"/>
    <mergeCell ref="S85:T85"/>
    <mergeCell ref="B86:C86"/>
    <mergeCell ref="D86:F86"/>
    <mergeCell ref="G86:H86"/>
    <mergeCell ref="I86:K86"/>
    <mergeCell ref="L86:M86"/>
    <mergeCell ref="O86:R86"/>
    <mergeCell ref="B90:C90"/>
    <mergeCell ref="S87:T87"/>
    <mergeCell ref="B88:C88"/>
    <mergeCell ref="I88:K88"/>
    <mergeCell ref="L88:M88"/>
    <mergeCell ref="O88:R88"/>
    <mergeCell ref="S88:T88"/>
    <mergeCell ref="B87:C87"/>
    <mergeCell ref="D87:F87"/>
    <mergeCell ref="G87:H87"/>
    <mergeCell ref="A70:E71"/>
    <mergeCell ref="A48:B48"/>
    <mergeCell ref="R48:T48"/>
    <mergeCell ref="B89:C89"/>
    <mergeCell ref="I89:K89"/>
    <mergeCell ref="L89:M89"/>
    <mergeCell ref="O89:R89"/>
    <mergeCell ref="S89:T89"/>
    <mergeCell ref="I87:K87"/>
    <mergeCell ref="L87:M87"/>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46"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5</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AA64"/>
  <sheetViews>
    <sheetView zoomScale="70" zoomScaleNormal="70" workbookViewId="0">
      <selection activeCell="A2" sqref="A2:W2"/>
    </sheetView>
  </sheetViews>
  <sheetFormatPr defaultRowHeight="12.75"/>
  <cols>
    <col min="1" max="1" width="34" style="46" customWidth="1"/>
    <col min="2" max="2" width="24.85546875" style="46" customWidth="1"/>
    <col min="3" max="3" width="16" style="46" customWidth="1"/>
    <col min="4" max="4" width="7.140625" style="46" customWidth="1"/>
    <col min="5" max="5" width="6.28515625" style="46" customWidth="1"/>
    <col min="6" max="6" width="7.28515625" style="46" customWidth="1"/>
    <col min="7" max="7" width="10.28515625" style="46" customWidth="1"/>
    <col min="8" max="8" width="6.28515625" style="46" customWidth="1"/>
    <col min="9" max="12" width="11.7109375" style="46" customWidth="1"/>
    <col min="13" max="13" width="11.5703125" style="46" customWidth="1"/>
    <col min="14" max="14" width="2.5703125" style="1" customWidth="1"/>
    <col min="15" max="15" width="32" style="1" customWidth="1"/>
    <col min="16" max="16" width="25" style="1" customWidth="1"/>
    <col min="17" max="17" width="13.42578125" style="1" customWidth="1"/>
    <col min="18" max="20" width="7.140625" style="1" customWidth="1"/>
    <col min="21" max="21" width="9.7109375" style="1" customWidth="1"/>
    <col min="22" max="22" width="6.28515625" style="1" customWidth="1"/>
    <col min="23" max="26" width="11.85546875" style="1" customWidth="1"/>
    <col min="27" max="27" width="12.28515625" style="1" customWidth="1"/>
    <col min="28" max="16384" width="9.140625" style="1"/>
  </cols>
  <sheetData>
    <row r="1" spans="1:27" s="46" customFormat="1" ht="14.25">
      <c r="A1" s="2900" t="s">
        <v>312</v>
      </c>
      <c r="B1" s="2900"/>
      <c r="C1" s="2900"/>
      <c r="D1" s="627"/>
    </row>
    <row r="2" spans="1:27" s="46" customFormat="1" ht="16.5" customHeight="1" thickBot="1">
      <c r="A2" s="1273" t="s">
        <v>3323</v>
      </c>
      <c r="B2" s="1273"/>
      <c r="C2" s="1273"/>
      <c r="D2" s="1273"/>
      <c r="E2" s="1273"/>
      <c r="F2" s="1273"/>
      <c r="G2" s="1273"/>
      <c r="H2" s="1273"/>
      <c r="I2" s="1273"/>
      <c r="J2" s="1273"/>
      <c r="K2" s="1273"/>
      <c r="L2" s="1273"/>
      <c r="M2" s="1273"/>
      <c r="N2" s="1273"/>
      <c r="O2" s="1273"/>
      <c r="P2" s="1273"/>
      <c r="Q2" s="1273"/>
      <c r="R2" s="1273"/>
      <c r="S2" s="1273"/>
      <c r="T2" s="1273"/>
      <c r="U2" s="1273"/>
      <c r="V2" s="1273"/>
      <c r="W2" s="1273"/>
      <c r="X2" s="746"/>
      <c r="Y2" s="746"/>
      <c r="Z2" s="764" t="s">
        <v>313</v>
      </c>
      <c r="AA2" s="765">
        <v>43301</v>
      </c>
    </row>
    <row r="3" spans="1:27" s="46" customFormat="1">
      <c r="A3" s="250"/>
      <c r="B3" s="250"/>
      <c r="C3" s="250"/>
      <c r="D3" s="435"/>
      <c r="E3" s="24"/>
      <c r="W3" s="588"/>
      <c r="X3" s="588"/>
      <c r="Y3" s="588"/>
      <c r="Z3" s="588" t="s">
        <v>804</v>
      </c>
      <c r="AA3" s="759">
        <v>43074</v>
      </c>
    </row>
    <row r="4" spans="1:27" s="46" customFormat="1">
      <c r="A4" s="1388" t="s">
        <v>307</v>
      </c>
      <c r="B4" s="1388" t="s">
        <v>3737</v>
      </c>
      <c r="C4" s="1495" t="s">
        <v>6917</v>
      </c>
      <c r="D4" s="1388" t="s">
        <v>3738</v>
      </c>
      <c r="E4" s="1388"/>
      <c r="F4" s="1388"/>
      <c r="G4" s="1388" t="s">
        <v>6918</v>
      </c>
      <c r="H4" s="1495" t="s">
        <v>622</v>
      </c>
      <c r="I4" s="1491" t="s">
        <v>3656</v>
      </c>
      <c r="J4" s="1491"/>
      <c r="K4" s="1491"/>
      <c r="L4" s="1491"/>
      <c r="M4" s="1491"/>
      <c r="O4" s="1388" t="s">
        <v>307</v>
      </c>
      <c r="P4" s="1388" t="s">
        <v>3737</v>
      </c>
      <c r="Q4" s="1495" t="s">
        <v>6917</v>
      </c>
      <c r="R4" s="1388" t="s">
        <v>3738</v>
      </c>
      <c r="S4" s="1388"/>
      <c r="T4" s="1388"/>
      <c r="U4" s="1388" t="s">
        <v>6918</v>
      </c>
      <c r="V4" s="1495" t="s">
        <v>622</v>
      </c>
      <c r="W4" s="1491" t="s">
        <v>3656</v>
      </c>
      <c r="X4" s="1491"/>
      <c r="Y4" s="1491"/>
      <c r="Z4" s="1491"/>
      <c r="AA4" s="1491"/>
    </row>
    <row r="5" spans="1:27" s="46" customFormat="1" ht="27.75" customHeight="1">
      <c r="A5" s="1388"/>
      <c r="B5" s="1388"/>
      <c r="C5" s="1496"/>
      <c r="D5" s="107" t="s">
        <v>3739</v>
      </c>
      <c r="E5" s="107" t="s">
        <v>831</v>
      </c>
      <c r="F5" s="107" t="s">
        <v>3325</v>
      </c>
      <c r="G5" s="1388"/>
      <c r="H5" s="1496"/>
      <c r="I5" s="62" t="s">
        <v>3546</v>
      </c>
      <c r="J5" s="62" t="s">
        <v>3605</v>
      </c>
      <c r="K5" s="62" t="s">
        <v>3606</v>
      </c>
      <c r="L5" s="62" t="s">
        <v>3607</v>
      </c>
      <c r="M5" s="62" t="s">
        <v>3608</v>
      </c>
      <c r="O5" s="1388"/>
      <c r="P5" s="1388"/>
      <c r="Q5" s="1496"/>
      <c r="R5" s="107" t="s">
        <v>3739</v>
      </c>
      <c r="S5" s="107" t="s">
        <v>831</v>
      </c>
      <c r="T5" s="107" t="s">
        <v>3325</v>
      </c>
      <c r="U5" s="1388"/>
      <c r="V5" s="1496"/>
      <c r="W5" s="62" t="s">
        <v>3546</v>
      </c>
      <c r="X5" s="62" t="s">
        <v>3605</v>
      </c>
      <c r="Y5" s="62" t="s">
        <v>3606</v>
      </c>
      <c r="Z5" s="62" t="s">
        <v>3607</v>
      </c>
      <c r="AA5" s="62" t="s">
        <v>3608</v>
      </c>
    </row>
    <row r="6" spans="1:27" s="46" customFormat="1" ht="17.25" customHeight="1">
      <c r="A6" s="2220" t="s">
        <v>3740</v>
      </c>
      <c r="B6" s="2220"/>
      <c r="C6" s="2220"/>
      <c r="D6" s="2220"/>
      <c r="E6" s="2220"/>
      <c r="F6" s="2220"/>
      <c r="G6" s="2220"/>
      <c r="H6" s="2220"/>
      <c r="I6" s="2220"/>
      <c r="J6" s="2220"/>
      <c r="K6" s="2220"/>
      <c r="L6" s="2220"/>
      <c r="M6" s="2220"/>
      <c r="N6" s="2220"/>
      <c r="O6" s="2220"/>
      <c r="P6" s="2220"/>
      <c r="Q6" s="2220"/>
      <c r="R6" s="2220"/>
      <c r="S6" s="2220"/>
      <c r="T6" s="2220"/>
      <c r="U6" s="2220"/>
      <c r="V6" s="2220"/>
      <c r="W6" s="2220"/>
      <c r="X6" s="2220"/>
      <c r="Y6" s="2220"/>
      <c r="Z6" s="2220"/>
      <c r="AA6" s="2220"/>
    </row>
    <row r="7" spans="1:27" s="54" customFormat="1" ht="18.75" customHeight="1">
      <c r="A7" s="2035" t="s">
        <v>3326</v>
      </c>
      <c r="B7" s="2901" t="s">
        <v>3741</v>
      </c>
      <c r="C7" s="1891" t="s">
        <v>3742</v>
      </c>
      <c r="D7" s="1891">
        <v>20</v>
      </c>
      <c r="E7" s="2904">
        <v>14.4</v>
      </c>
      <c r="F7" s="2907">
        <v>0.28799999999999998</v>
      </c>
      <c r="G7" s="1891">
        <v>1</v>
      </c>
      <c r="H7" s="81" t="s">
        <v>820</v>
      </c>
      <c r="I7" s="725">
        <f>ROUND(1368*Belarus*(1-C60),2)</f>
        <v>1368</v>
      </c>
      <c r="J7" s="725">
        <f>ROUND(1368*Belarus*(1-C60),2)</f>
        <v>1368</v>
      </c>
      <c r="K7" s="725">
        <f>ROUND(1368*Belarus*(1-C60),2)</f>
        <v>1368</v>
      </c>
      <c r="L7" s="725">
        <f>ROUND(1368*Belarus*(1-C60),2)</f>
        <v>1368</v>
      </c>
      <c r="M7" s="725">
        <f>ROUND(1454*Belarus*(1-C60),2)</f>
        <v>1454</v>
      </c>
      <c r="O7" s="2035" t="s">
        <v>3331</v>
      </c>
      <c r="P7" s="1995" t="s">
        <v>3743</v>
      </c>
      <c r="Q7" s="1891" t="s">
        <v>3744</v>
      </c>
      <c r="R7" s="1891">
        <v>13</v>
      </c>
      <c r="S7" s="2904">
        <v>8.8971999999999998</v>
      </c>
      <c r="T7" s="2907">
        <v>0.26691599999999999</v>
      </c>
      <c r="U7" s="1891">
        <v>210</v>
      </c>
      <c r="V7" s="81" t="s">
        <v>820</v>
      </c>
      <c r="W7" s="725">
        <f>ROUND(1281*Belarus*(1-C60),2)</f>
        <v>1281</v>
      </c>
      <c r="X7" s="725">
        <f>ROUND(1281*Belarus*(1-C60),2)</f>
        <v>1281</v>
      </c>
      <c r="Y7" s="725">
        <f>ROUND(1281*Belarus*(1-C60),2)</f>
        <v>1281</v>
      </c>
      <c r="Z7" s="725">
        <f>ROUND(1281*Belarus*(1-C60),2)</f>
        <v>1281</v>
      </c>
      <c r="AA7" s="725">
        <f>ROUND(1281*Belarus*(1-C60),2)</f>
        <v>1281</v>
      </c>
    </row>
    <row r="8" spans="1:27" s="54" customFormat="1" ht="18.75" customHeight="1">
      <c r="A8" s="2801"/>
      <c r="B8" s="2902"/>
      <c r="C8" s="1892"/>
      <c r="D8" s="1892"/>
      <c r="E8" s="2905"/>
      <c r="F8" s="2908"/>
      <c r="G8" s="1892"/>
      <c r="H8" s="103" t="s">
        <v>3325</v>
      </c>
      <c r="I8" s="827">
        <f>I7/F7</f>
        <v>4750</v>
      </c>
      <c r="J8" s="827">
        <f>J7/F7</f>
        <v>4750</v>
      </c>
      <c r="K8" s="827">
        <f>K7/F7</f>
        <v>4750</v>
      </c>
      <c r="L8" s="827">
        <f>L7/F7</f>
        <v>4750</v>
      </c>
      <c r="M8" s="827">
        <f>M7/F7</f>
        <v>5048.6111111111113</v>
      </c>
      <c r="O8" s="2801"/>
      <c r="P8" s="1996"/>
      <c r="Q8" s="1892"/>
      <c r="R8" s="1892"/>
      <c r="S8" s="2905"/>
      <c r="T8" s="2908"/>
      <c r="U8" s="1892"/>
      <c r="V8" s="103" t="s">
        <v>3325</v>
      </c>
      <c r="W8" s="827">
        <f>W7/T7</f>
        <v>4799.2626893854249</v>
      </c>
      <c r="X8" s="827">
        <f>X7/T7</f>
        <v>4799.2626893854249</v>
      </c>
      <c r="Y8" s="827">
        <f>Y7/T7</f>
        <v>4799.2626893854249</v>
      </c>
      <c r="Z8" s="827">
        <f>Z7/T7</f>
        <v>4799.2626893854249</v>
      </c>
      <c r="AA8" s="827">
        <f>AA7/T7</f>
        <v>4799.2626893854249</v>
      </c>
    </row>
    <row r="9" spans="1:27" s="54" customFormat="1" ht="18.75" customHeight="1">
      <c r="A9" s="2801"/>
      <c r="B9" s="2902"/>
      <c r="C9" s="1893"/>
      <c r="D9" s="1893"/>
      <c r="E9" s="2906"/>
      <c r="F9" s="2909"/>
      <c r="G9" s="1893"/>
      <c r="H9" s="103" t="s">
        <v>831</v>
      </c>
      <c r="I9" s="1118">
        <f>I7/E7</f>
        <v>95</v>
      </c>
      <c r="J9" s="1118">
        <f>J7/E7</f>
        <v>95</v>
      </c>
      <c r="K9" s="1118">
        <f>K7/E7</f>
        <v>95</v>
      </c>
      <c r="L9" s="1118">
        <f>L7/E7</f>
        <v>95</v>
      </c>
      <c r="M9" s="1118">
        <f>M7/E7</f>
        <v>100.97222222222221</v>
      </c>
      <c r="O9" s="2801"/>
      <c r="P9" s="1996"/>
      <c r="Q9" s="1893"/>
      <c r="R9" s="1893"/>
      <c r="S9" s="2906"/>
      <c r="T9" s="2909"/>
      <c r="U9" s="1893"/>
      <c r="V9" s="103" t="s">
        <v>831</v>
      </c>
      <c r="W9" s="1118">
        <f>W7/S7</f>
        <v>143.97788068156274</v>
      </c>
      <c r="X9" s="1118">
        <f>X7/S7</f>
        <v>143.97788068156274</v>
      </c>
      <c r="Y9" s="1118">
        <f>Y7/S7</f>
        <v>143.97788068156274</v>
      </c>
      <c r="Z9" s="1118">
        <f>Z7/S7</f>
        <v>143.97788068156274</v>
      </c>
      <c r="AA9" s="1118">
        <f>AA7/S7</f>
        <v>143.97788068156274</v>
      </c>
    </row>
    <row r="10" spans="1:27" s="54" customFormat="1" ht="18.75" customHeight="1">
      <c r="A10" s="2801"/>
      <c r="B10" s="2902"/>
      <c r="C10" s="1891" t="s">
        <v>3744</v>
      </c>
      <c r="D10" s="1891">
        <v>13</v>
      </c>
      <c r="E10" s="2904">
        <v>8.8971999999999998</v>
      </c>
      <c r="F10" s="2907">
        <v>0.26691599999999999</v>
      </c>
      <c r="G10" s="1891">
        <v>1</v>
      </c>
      <c r="H10" s="81" t="s">
        <v>820</v>
      </c>
      <c r="I10" s="725">
        <f>ROUND(1228*Belarus*(1-C60),2)</f>
        <v>1228</v>
      </c>
      <c r="J10" s="725">
        <f>ROUND(1228*Belarus*(1-C60),2)</f>
        <v>1228</v>
      </c>
      <c r="K10" s="725">
        <f>ROUND(1228*Belarus*(1-C60),2)</f>
        <v>1228</v>
      </c>
      <c r="L10" s="725">
        <f>ROUND(1228*Belarus*(1-C60),2)</f>
        <v>1228</v>
      </c>
      <c r="M10" s="725">
        <f>ROUND(1341*Belarus*(1-C60),2)</f>
        <v>1341</v>
      </c>
      <c r="O10" s="2801"/>
      <c r="P10" s="1996"/>
      <c r="Q10" s="1891" t="s">
        <v>3745</v>
      </c>
      <c r="R10" s="1891">
        <v>10</v>
      </c>
      <c r="S10" s="2904">
        <v>6.8440000000000003</v>
      </c>
      <c r="T10" s="2907">
        <v>0.27376</v>
      </c>
      <c r="U10" s="1891">
        <v>140</v>
      </c>
      <c r="V10" s="81" t="s">
        <v>820</v>
      </c>
      <c r="W10" s="725">
        <f>ROUND(1314*Belarus*(1-C60),2)</f>
        <v>1314</v>
      </c>
      <c r="X10" s="725">
        <f>ROUND(1314*Belarus*(1-C60),2)</f>
        <v>1314</v>
      </c>
      <c r="Y10" s="725">
        <f>ROUND(1314*Belarus*(1-C60),2)</f>
        <v>1314</v>
      </c>
      <c r="Z10" s="725">
        <f>ROUND(1314*Belarus*(1-C60),2)</f>
        <v>1314</v>
      </c>
      <c r="AA10" s="725">
        <f>ROUND(1314*Belarus*(1-C60),2)</f>
        <v>1314</v>
      </c>
    </row>
    <row r="11" spans="1:27" s="54" customFormat="1" ht="18.75" customHeight="1">
      <c r="A11" s="2801"/>
      <c r="B11" s="2902"/>
      <c r="C11" s="1892"/>
      <c r="D11" s="1892"/>
      <c r="E11" s="2905"/>
      <c r="F11" s="2908"/>
      <c r="G11" s="1892"/>
      <c r="H11" s="103" t="s">
        <v>3325</v>
      </c>
      <c r="I11" s="827">
        <f>I10/F10</f>
        <v>4600.6983470455125</v>
      </c>
      <c r="J11" s="827">
        <f>J10/F10</f>
        <v>4600.6983470455125</v>
      </c>
      <c r="K11" s="827">
        <f>K10/F10</f>
        <v>4600.6983470455125</v>
      </c>
      <c r="L11" s="827">
        <f>L10/F10</f>
        <v>4600.6983470455125</v>
      </c>
      <c r="M11" s="827">
        <f>M10/F10</f>
        <v>5024.0525109023065</v>
      </c>
      <c r="O11" s="2801"/>
      <c r="P11" s="1996"/>
      <c r="Q11" s="1892"/>
      <c r="R11" s="1892"/>
      <c r="S11" s="2905"/>
      <c r="T11" s="2908"/>
      <c r="U11" s="1892"/>
      <c r="V11" s="103" t="s">
        <v>3325</v>
      </c>
      <c r="W11" s="827">
        <f>W10/T10</f>
        <v>4799.8246639392164</v>
      </c>
      <c r="X11" s="827">
        <f>X10/T10</f>
        <v>4799.8246639392164</v>
      </c>
      <c r="Y11" s="827">
        <f>Y10/T10</f>
        <v>4799.8246639392164</v>
      </c>
      <c r="Z11" s="827">
        <f>Z10/T10</f>
        <v>4799.8246639392164</v>
      </c>
      <c r="AA11" s="827">
        <f>AA10/T10</f>
        <v>4799.8246639392164</v>
      </c>
    </row>
    <row r="12" spans="1:27" s="54" customFormat="1" ht="18.75" customHeight="1">
      <c r="A12" s="2801"/>
      <c r="B12" s="2902"/>
      <c r="C12" s="1893"/>
      <c r="D12" s="1893"/>
      <c r="E12" s="2906"/>
      <c r="F12" s="2909"/>
      <c r="G12" s="1893"/>
      <c r="H12" s="103" t="s">
        <v>831</v>
      </c>
      <c r="I12" s="1118">
        <f>I10/E10</f>
        <v>138.02095041136539</v>
      </c>
      <c r="J12" s="1118">
        <f>J10/E10</f>
        <v>138.02095041136539</v>
      </c>
      <c r="K12" s="1118">
        <f>K10/E10</f>
        <v>138.02095041136539</v>
      </c>
      <c r="L12" s="1118">
        <f>L10/E10</f>
        <v>138.02095041136539</v>
      </c>
      <c r="M12" s="1118">
        <f>M10/E10</f>
        <v>150.72157532706919</v>
      </c>
      <c r="O12" s="2801"/>
      <c r="P12" s="1996"/>
      <c r="Q12" s="1893"/>
      <c r="R12" s="1893"/>
      <c r="S12" s="2906"/>
      <c r="T12" s="2909"/>
      <c r="U12" s="1893"/>
      <c r="V12" s="103" t="s">
        <v>831</v>
      </c>
      <c r="W12" s="1118">
        <f>W10/S10</f>
        <v>191.99298655756866</v>
      </c>
      <c r="X12" s="1118">
        <f>X10/S10</f>
        <v>191.99298655756866</v>
      </c>
      <c r="Y12" s="1118">
        <f>Y10/S10</f>
        <v>191.99298655756866</v>
      </c>
      <c r="Z12" s="1118">
        <f>Z10/S10</f>
        <v>191.99298655756866</v>
      </c>
      <c r="AA12" s="1118">
        <f>AA10/S10</f>
        <v>191.99298655756866</v>
      </c>
    </row>
    <row r="13" spans="1:27" s="54" customFormat="1" ht="18.75" customHeight="1">
      <c r="A13" s="2801"/>
      <c r="B13" s="2902"/>
      <c r="C13" s="1891" t="s">
        <v>3745</v>
      </c>
      <c r="D13" s="1891">
        <v>10</v>
      </c>
      <c r="E13" s="2904">
        <v>6.8440000000000003</v>
      </c>
      <c r="F13" s="2907">
        <v>0.27376</v>
      </c>
      <c r="G13" s="1891">
        <v>1</v>
      </c>
      <c r="H13" s="81" t="s">
        <v>820</v>
      </c>
      <c r="I13" s="725">
        <f>ROUND(1259*Belarus*(1-C60),2)</f>
        <v>1259</v>
      </c>
      <c r="J13" s="725">
        <f>ROUND(1259*Belarus*(1-C60),2)</f>
        <v>1259</v>
      </c>
      <c r="K13" s="725">
        <f>ROUND(1259*Belarus*(1-C60),2)</f>
        <v>1259</v>
      </c>
      <c r="L13" s="725">
        <f>ROUND(1259*Belarus*(1-C60),2)</f>
        <v>1259</v>
      </c>
      <c r="M13" s="725">
        <f>ROUND(1374*Belarus*(1-C60),2)</f>
        <v>1374</v>
      </c>
      <c r="O13" s="2801"/>
      <c r="P13" s="1996"/>
      <c r="Q13" s="1891" t="s">
        <v>3746</v>
      </c>
      <c r="R13" s="1891">
        <v>8</v>
      </c>
      <c r="S13" s="2904">
        <v>5.4752000000000001</v>
      </c>
      <c r="T13" s="2907">
        <v>0.27376</v>
      </c>
      <c r="U13" s="1891">
        <v>1</v>
      </c>
      <c r="V13" s="81" t="s">
        <v>820</v>
      </c>
      <c r="W13" s="725">
        <f>ROUND(1273*Belarus*(1-C60),2)</f>
        <v>1273</v>
      </c>
      <c r="X13" s="725">
        <f>ROUND(1273*Belarus*(1-C60),2)</f>
        <v>1273</v>
      </c>
      <c r="Y13" s="725">
        <f>ROUND(1273*Belarus*(1-C60),2)</f>
        <v>1273</v>
      </c>
      <c r="Z13" s="725">
        <f>ROUND(1273*Belarus*(1-C60),2)</f>
        <v>1273</v>
      </c>
      <c r="AA13" s="725">
        <f>ROUND(1273*Belarus*(1-C60),2)</f>
        <v>1273</v>
      </c>
    </row>
    <row r="14" spans="1:27" s="54" customFormat="1" ht="18.75" customHeight="1">
      <c r="A14" s="2801"/>
      <c r="B14" s="2902"/>
      <c r="C14" s="1892"/>
      <c r="D14" s="1892"/>
      <c r="E14" s="2905"/>
      <c r="F14" s="2908"/>
      <c r="G14" s="1892"/>
      <c r="H14" s="103" t="s">
        <v>3325</v>
      </c>
      <c r="I14" s="827">
        <f>I13/F13</f>
        <v>4598.9187609585033</v>
      </c>
      <c r="J14" s="827">
        <f>J13/F13</f>
        <v>4598.9187609585033</v>
      </c>
      <c r="K14" s="827">
        <f>K13/F13</f>
        <v>4598.9187609585033</v>
      </c>
      <c r="L14" s="827">
        <f>L13/F13</f>
        <v>4598.9187609585033</v>
      </c>
      <c r="M14" s="827">
        <f>M13/F13</f>
        <v>5018.9947399181765</v>
      </c>
      <c r="O14" s="2801"/>
      <c r="P14" s="1996"/>
      <c r="Q14" s="1892"/>
      <c r="R14" s="1892"/>
      <c r="S14" s="2905"/>
      <c r="T14" s="2908"/>
      <c r="U14" s="1892"/>
      <c r="V14" s="103" t="s">
        <v>3325</v>
      </c>
      <c r="W14" s="827">
        <f>W13/T13</f>
        <v>4650.0584453535939</v>
      </c>
      <c r="X14" s="827">
        <f>X13/T13</f>
        <v>4650.0584453535939</v>
      </c>
      <c r="Y14" s="827">
        <f>Y13/T13</f>
        <v>4650.0584453535939</v>
      </c>
      <c r="Z14" s="827">
        <f>Z13/T13</f>
        <v>4650.0584453535939</v>
      </c>
      <c r="AA14" s="827">
        <f>AA13/T13</f>
        <v>4650.0584453535939</v>
      </c>
    </row>
    <row r="15" spans="1:27" s="54" customFormat="1" ht="18.75" customHeight="1">
      <c r="A15" s="2801"/>
      <c r="B15" s="2902"/>
      <c r="C15" s="1893"/>
      <c r="D15" s="1893"/>
      <c r="E15" s="2906"/>
      <c r="F15" s="2909"/>
      <c r="G15" s="1893"/>
      <c r="H15" s="103" t="s">
        <v>831</v>
      </c>
      <c r="I15" s="1118">
        <f>I13/E13</f>
        <v>183.95675043834015</v>
      </c>
      <c r="J15" s="1118">
        <f>J13/E13</f>
        <v>183.95675043834015</v>
      </c>
      <c r="K15" s="1118">
        <f>K13/E13</f>
        <v>183.95675043834015</v>
      </c>
      <c r="L15" s="1118">
        <f>L13/E13</f>
        <v>183.95675043834015</v>
      </c>
      <c r="M15" s="1118">
        <f>M13/E13</f>
        <v>200.75978959672705</v>
      </c>
      <c r="O15" s="2801"/>
      <c r="P15" s="1996"/>
      <c r="Q15" s="1893"/>
      <c r="R15" s="1893"/>
      <c r="S15" s="2906"/>
      <c r="T15" s="2909"/>
      <c r="U15" s="1893"/>
      <c r="V15" s="103" t="s">
        <v>831</v>
      </c>
      <c r="W15" s="1118">
        <f>W13/S13</f>
        <v>232.50292226767971</v>
      </c>
      <c r="X15" s="1118">
        <f>X13/S13</f>
        <v>232.50292226767971</v>
      </c>
      <c r="Y15" s="1118">
        <f>Y13/S13</f>
        <v>232.50292226767971</v>
      </c>
      <c r="Z15" s="1118">
        <f>Z13/S13</f>
        <v>232.50292226767971</v>
      </c>
      <c r="AA15" s="1118">
        <f>AA13/S13</f>
        <v>232.50292226767971</v>
      </c>
    </row>
    <row r="16" spans="1:27" s="54" customFormat="1" ht="18.75" customHeight="1">
      <c r="A16" s="2801"/>
      <c r="B16" s="2902"/>
      <c r="C16" s="1891" t="s">
        <v>3747</v>
      </c>
      <c r="D16" s="1891">
        <v>8</v>
      </c>
      <c r="E16" s="2904">
        <v>5.4752000000000001</v>
      </c>
      <c r="F16" s="2907">
        <v>0.27376</v>
      </c>
      <c r="G16" s="1891">
        <v>1</v>
      </c>
      <c r="H16" s="81" t="s">
        <v>820</v>
      </c>
      <c r="I16" s="725">
        <f>ROUND(1232*Belarus*(1-C60),2)</f>
        <v>1232</v>
      </c>
      <c r="J16" s="725">
        <f>ROUND(1232*Belarus*(1-C60),2)</f>
        <v>1232</v>
      </c>
      <c r="K16" s="725">
        <f>ROUND(1248*Belarus*(1-C60),2)</f>
        <v>1248</v>
      </c>
      <c r="L16" s="725">
        <f>ROUND(1232*Belarus*(1-C60),2)</f>
        <v>1232</v>
      </c>
      <c r="M16" s="725">
        <f>ROUND(1345*Belarus*(1-C60),2)</f>
        <v>1345</v>
      </c>
      <c r="O16" s="2801"/>
      <c r="P16" s="1996"/>
      <c r="Q16" s="1891" t="s">
        <v>3748</v>
      </c>
      <c r="R16" s="1891">
        <v>7</v>
      </c>
      <c r="S16" s="2904">
        <v>4.7907999999999999</v>
      </c>
      <c r="T16" s="2907">
        <v>0.28744799999999998</v>
      </c>
      <c r="U16" s="1891">
        <v>140</v>
      </c>
      <c r="V16" s="81" t="s">
        <v>820</v>
      </c>
      <c r="W16" s="725">
        <f>ROUND(1351*Belarus*(1-C60),2)</f>
        <v>1351</v>
      </c>
      <c r="X16" s="725">
        <f>ROUND(1351*Belarus*(1-C60),2)</f>
        <v>1351</v>
      </c>
      <c r="Y16" s="725">
        <f>ROUND(1351*Belarus*(1-C60),2)</f>
        <v>1351</v>
      </c>
      <c r="Z16" s="725">
        <f>ROUND(1351*Belarus*(1-C60),2)</f>
        <v>1351</v>
      </c>
      <c r="AA16" s="725">
        <f>ROUND(1351*Belarus*(1-C60),2)</f>
        <v>1351</v>
      </c>
    </row>
    <row r="17" spans="1:27" s="54" customFormat="1" ht="18.75" customHeight="1">
      <c r="A17" s="2801"/>
      <c r="B17" s="2902"/>
      <c r="C17" s="1892"/>
      <c r="D17" s="1892"/>
      <c r="E17" s="2905"/>
      <c r="F17" s="2908"/>
      <c r="G17" s="1892"/>
      <c r="H17" s="103" t="s">
        <v>3325</v>
      </c>
      <c r="I17" s="827">
        <f>I16/F16</f>
        <v>4500.2922267679714</v>
      </c>
      <c r="J17" s="827">
        <f>J16/F16</f>
        <v>4500.2922267679714</v>
      </c>
      <c r="K17" s="827">
        <f>K16/F16</f>
        <v>4558.7375803623609</v>
      </c>
      <c r="L17" s="827">
        <f>L16/F16</f>
        <v>4500.2922267679714</v>
      </c>
      <c r="M17" s="827">
        <f>M16/F16</f>
        <v>4913.0625365283458</v>
      </c>
      <c r="O17" s="2801"/>
      <c r="P17" s="1996"/>
      <c r="Q17" s="1892"/>
      <c r="R17" s="1892"/>
      <c r="S17" s="2905"/>
      <c r="T17" s="2908"/>
      <c r="U17" s="1892"/>
      <c r="V17" s="103" t="s">
        <v>3325</v>
      </c>
      <c r="W17" s="827">
        <f>W16/T16</f>
        <v>4699.9805182154687</v>
      </c>
      <c r="X17" s="827">
        <f>X16/T16</f>
        <v>4699.9805182154687</v>
      </c>
      <c r="Y17" s="827">
        <f>Y16/T16</f>
        <v>4699.9805182154687</v>
      </c>
      <c r="Z17" s="827">
        <f>Z16/T16</f>
        <v>4699.9805182154687</v>
      </c>
      <c r="AA17" s="827">
        <f>AA16/T16</f>
        <v>4699.9805182154687</v>
      </c>
    </row>
    <row r="18" spans="1:27" s="54" customFormat="1" ht="18.75" customHeight="1">
      <c r="A18" s="2801"/>
      <c r="B18" s="2902"/>
      <c r="C18" s="1893"/>
      <c r="D18" s="1893"/>
      <c r="E18" s="2906"/>
      <c r="F18" s="2909"/>
      <c r="G18" s="1893"/>
      <c r="H18" s="103" t="s">
        <v>831</v>
      </c>
      <c r="I18" s="1118">
        <f>I16/E16</f>
        <v>225.01461133839859</v>
      </c>
      <c r="J18" s="1118">
        <f>J16/E16</f>
        <v>225.01461133839859</v>
      </c>
      <c r="K18" s="1118">
        <f>K16/E16</f>
        <v>227.93687901811805</v>
      </c>
      <c r="L18" s="1118">
        <f>L16/E16</f>
        <v>225.01461133839859</v>
      </c>
      <c r="M18" s="1118">
        <f>M16/E16</f>
        <v>245.65312682641729</v>
      </c>
      <c r="O18" s="2801"/>
      <c r="P18" s="1996"/>
      <c r="Q18" s="1893"/>
      <c r="R18" s="1893"/>
      <c r="S18" s="2906"/>
      <c r="T18" s="2909"/>
      <c r="U18" s="1893"/>
      <c r="V18" s="103" t="s">
        <v>831</v>
      </c>
      <c r="W18" s="1118">
        <f>W16/S16</f>
        <v>281.99883109292813</v>
      </c>
      <c r="X18" s="1118">
        <f>X16/S16</f>
        <v>281.99883109292813</v>
      </c>
      <c r="Y18" s="1118">
        <f>Y16/S16</f>
        <v>281.99883109292813</v>
      </c>
      <c r="Z18" s="1118">
        <f>Z16/S16</f>
        <v>281.99883109292813</v>
      </c>
      <c r="AA18" s="1118">
        <f>AA16/S16</f>
        <v>281.99883109292813</v>
      </c>
    </row>
    <row r="19" spans="1:27" s="54" customFormat="1" ht="18.75" customHeight="1">
      <c r="A19" s="2801"/>
      <c r="B19" s="2902"/>
      <c r="C19" s="1891" t="s">
        <v>3749</v>
      </c>
      <c r="D19" s="1891">
        <v>4</v>
      </c>
      <c r="E19" s="2904">
        <v>2.7376</v>
      </c>
      <c r="F19" s="2907">
        <v>0.27376</v>
      </c>
      <c r="G19" s="1891">
        <v>1</v>
      </c>
      <c r="H19" s="81" t="s">
        <v>820</v>
      </c>
      <c r="I19" s="725">
        <f>ROUND(1355*Belarus*(1-C60),2)</f>
        <v>1355</v>
      </c>
      <c r="J19" s="725">
        <f>ROUND(1355*Belarus*(1-C60),2)</f>
        <v>1355</v>
      </c>
      <c r="K19" s="725">
        <f>ROUND(1355*Belarus*(1-C60),2)</f>
        <v>1355</v>
      </c>
      <c r="L19" s="725">
        <f>ROUND(1355*Belarus*(1-C60),2)</f>
        <v>1355</v>
      </c>
      <c r="M19" s="725">
        <f>ROUND(1382*Belarus*(1-C60),2)</f>
        <v>1382</v>
      </c>
      <c r="O19" s="2801"/>
      <c r="P19" s="1996"/>
      <c r="Q19" s="1891" t="s">
        <v>3750</v>
      </c>
      <c r="R19" s="1891">
        <v>5</v>
      </c>
      <c r="S19" s="2904">
        <v>3.4220000000000002</v>
      </c>
      <c r="T19" s="2907">
        <v>0.27376</v>
      </c>
      <c r="U19" s="1891">
        <v>140</v>
      </c>
      <c r="V19" s="81" t="s">
        <v>820</v>
      </c>
      <c r="W19" s="725">
        <f>ROUND(1410*Belarus*(1-C60),2)</f>
        <v>1410</v>
      </c>
      <c r="X19" s="725">
        <f>ROUND(1410*Belarus*(1-C60),2)</f>
        <v>1410</v>
      </c>
      <c r="Y19" s="725">
        <f>ROUND(1410*Belarus*(1-C60),2)</f>
        <v>1410</v>
      </c>
      <c r="Z19" s="725">
        <f>ROUND(1410*Belarus*(1-C60),2)</f>
        <v>1410</v>
      </c>
      <c r="AA19" s="725">
        <f>ROUND(1410*Belarus*(1-C60),2)</f>
        <v>1410</v>
      </c>
    </row>
    <row r="20" spans="1:27" s="54" customFormat="1" ht="18.75" customHeight="1">
      <c r="A20" s="2801"/>
      <c r="B20" s="2902"/>
      <c r="C20" s="1892"/>
      <c r="D20" s="1892"/>
      <c r="E20" s="2905"/>
      <c r="F20" s="2908"/>
      <c r="G20" s="1892"/>
      <c r="H20" s="103" t="s">
        <v>3325</v>
      </c>
      <c r="I20" s="827">
        <f>I19/F19</f>
        <v>4949.5908825248389</v>
      </c>
      <c r="J20" s="827">
        <f>J19/F19</f>
        <v>4949.5908825248389</v>
      </c>
      <c r="K20" s="827">
        <f>K19/F19</f>
        <v>4949.5908825248389</v>
      </c>
      <c r="L20" s="827">
        <f>L19/F19</f>
        <v>4949.5908825248389</v>
      </c>
      <c r="M20" s="827">
        <f>M19/F19</f>
        <v>5048.2174167153707</v>
      </c>
      <c r="O20" s="2801"/>
      <c r="P20" s="1996"/>
      <c r="Q20" s="1892"/>
      <c r="R20" s="1892"/>
      <c r="S20" s="2905"/>
      <c r="T20" s="2908"/>
      <c r="U20" s="1892"/>
      <c r="V20" s="103" t="s">
        <v>3325</v>
      </c>
      <c r="W20" s="827">
        <f>W19/T19</f>
        <v>5150.496785505552</v>
      </c>
      <c r="X20" s="827">
        <f>X19/T19</f>
        <v>5150.496785505552</v>
      </c>
      <c r="Y20" s="827">
        <f>Y19/T19</f>
        <v>5150.496785505552</v>
      </c>
      <c r="Z20" s="827">
        <f>Z19/T19</f>
        <v>5150.496785505552</v>
      </c>
      <c r="AA20" s="827">
        <f>AA19/T19</f>
        <v>5150.496785505552</v>
      </c>
    </row>
    <row r="21" spans="1:27" s="54" customFormat="1" ht="18.75" customHeight="1">
      <c r="A21" s="2036"/>
      <c r="B21" s="2903"/>
      <c r="C21" s="1893"/>
      <c r="D21" s="1893"/>
      <c r="E21" s="2906"/>
      <c r="F21" s="2909"/>
      <c r="G21" s="1893"/>
      <c r="H21" s="103" t="s">
        <v>831</v>
      </c>
      <c r="I21" s="1118">
        <f>I19/E19</f>
        <v>494.95908825248392</v>
      </c>
      <c r="J21" s="1118">
        <f>J19/E19</f>
        <v>494.95908825248392</v>
      </c>
      <c r="K21" s="1118">
        <f>K19/E19</f>
        <v>494.95908825248392</v>
      </c>
      <c r="L21" s="1118">
        <f>L19/E19</f>
        <v>494.95908825248392</v>
      </c>
      <c r="M21" s="1118">
        <f>M19/E19</f>
        <v>504.8217416715371</v>
      </c>
      <c r="O21" s="2801"/>
      <c r="P21" s="1996"/>
      <c r="Q21" s="1893"/>
      <c r="R21" s="1893"/>
      <c r="S21" s="2906"/>
      <c r="T21" s="2909"/>
      <c r="U21" s="1893"/>
      <c r="V21" s="103" t="s">
        <v>831</v>
      </c>
      <c r="W21" s="1118">
        <f>W19/S19</f>
        <v>412.03974284044415</v>
      </c>
      <c r="X21" s="1118">
        <f>X19/S19</f>
        <v>412.03974284044415</v>
      </c>
      <c r="Y21" s="1118">
        <f>Y19/S19</f>
        <v>412.03974284044415</v>
      </c>
      <c r="Z21" s="1118">
        <f>Z19/S19</f>
        <v>412.03974284044415</v>
      </c>
      <c r="AA21" s="1118">
        <f>AA19/S19</f>
        <v>412.03974284044415</v>
      </c>
    </row>
    <row r="22" spans="1:27" s="54" customFormat="1" ht="18.75" customHeight="1">
      <c r="A22" s="2035" t="s">
        <v>3329</v>
      </c>
      <c r="B22" s="2901" t="s">
        <v>3751</v>
      </c>
      <c r="C22" s="1891" t="s">
        <v>3752</v>
      </c>
      <c r="D22" s="1891">
        <v>4</v>
      </c>
      <c r="E22" s="2904">
        <v>5.4752000000000001</v>
      </c>
      <c r="F22" s="2907">
        <v>0.54752000000000001</v>
      </c>
      <c r="G22" s="1891">
        <v>1</v>
      </c>
      <c r="H22" s="81" t="s">
        <v>820</v>
      </c>
      <c r="I22" s="725">
        <f>ROUND(2738*Belarus*(1-C60),2)</f>
        <v>2738</v>
      </c>
      <c r="J22" s="725">
        <f>ROUND(2738*Belarus*(1-C60),2)</f>
        <v>2738</v>
      </c>
      <c r="K22" s="725">
        <f>ROUND(2738*Belarus*(1-C60),2)</f>
        <v>2738</v>
      </c>
      <c r="L22" s="725">
        <f>ROUND(2738*Belarus*(1-C60),2)</f>
        <v>2738</v>
      </c>
      <c r="M22" s="725">
        <f>ROUND(2738*Belarus*(1-C60),2)</f>
        <v>2738</v>
      </c>
      <c r="O22" s="2801"/>
      <c r="P22" s="1996"/>
      <c r="Q22" s="1891" t="s">
        <v>3749</v>
      </c>
      <c r="R22" s="1891">
        <v>4</v>
      </c>
      <c r="S22" s="2904">
        <v>2.7376</v>
      </c>
      <c r="T22" s="2907">
        <v>0.27376</v>
      </c>
      <c r="U22" s="1891">
        <v>1</v>
      </c>
      <c r="V22" s="81" t="s">
        <v>820</v>
      </c>
      <c r="W22" s="725">
        <f>ROUND(1410*Belarus*(1-C60),2)</f>
        <v>1410</v>
      </c>
      <c r="X22" s="725">
        <f>ROUND(1410*Belarus*(1-C60),2)</f>
        <v>1410</v>
      </c>
      <c r="Y22" s="725">
        <f>ROUND(1410*Belarus*(1-C60),2)</f>
        <v>1410</v>
      </c>
      <c r="Z22" s="725">
        <f>ROUND(1410*Belarus*(1-C60),2)</f>
        <v>1410</v>
      </c>
      <c r="AA22" s="725">
        <f>ROUND(1410*Belarus*(1-C60),2)</f>
        <v>1410</v>
      </c>
    </row>
    <row r="23" spans="1:27" s="54" customFormat="1" ht="18.75" customHeight="1">
      <c r="A23" s="2801"/>
      <c r="B23" s="2902"/>
      <c r="C23" s="1892"/>
      <c r="D23" s="1892"/>
      <c r="E23" s="2905"/>
      <c r="F23" s="2908"/>
      <c r="G23" s="1892"/>
      <c r="H23" s="103" t="s">
        <v>3325</v>
      </c>
      <c r="I23" s="827">
        <f>I22/F22</f>
        <v>5000.7305669199295</v>
      </c>
      <c r="J23" s="827">
        <f>J22/F22</f>
        <v>5000.7305669199295</v>
      </c>
      <c r="K23" s="827">
        <f>K22/F22</f>
        <v>5000.7305669199295</v>
      </c>
      <c r="L23" s="827">
        <f>L22/F22</f>
        <v>5000.7305669199295</v>
      </c>
      <c r="M23" s="827">
        <f>M22/F22</f>
        <v>5000.7305669199295</v>
      </c>
      <c r="O23" s="2801"/>
      <c r="P23" s="1996"/>
      <c r="Q23" s="1892"/>
      <c r="R23" s="1892"/>
      <c r="S23" s="2905"/>
      <c r="T23" s="2908"/>
      <c r="U23" s="1892"/>
      <c r="V23" s="103" t="s">
        <v>3325</v>
      </c>
      <c r="W23" s="827">
        <f>W22/T22</f>
        <v>5150.496785505552</v>
      </c>
      <c r="X23" s="827">
        <f>X22/T22</f>
        <v>5150.496785505552</v>
      </c>
      <c r="Y23" s="827">
        <f>Y22/T22</f>
        <v>5150.496785505552</v>
      </c>
      <c r="Z23" s="827">
        <f>Z22/T22</f>
        <v>5150.496785505552</v>
      </c>
      <c r="AA23" s="827">
        <f>AA22/T22</f>
        <v>5150.496785505552</v>
      </c>
    </row>
    <row r="24" spans="1:27" s="54" customFormat="1" ht="18.75" customHeight="1">
      <c r="A24" s="2036"/>
      <c r="B24" s="2903"/>
      <c r="C24" s="1893"/>
      <c r="D24" s="1893"/>
      <c r="E24" s="2906"/>
      <c r="F24" s="2909"/>
      <c r="G24" s="1893"/>
      <c r="H24" s="103" t="s">
        <v>831</v>
      </c>
      <c r="I24" s="1118">
        <f>I22/E22</f>
        <v>500.07305669199297</v>
      </c>
      <c r="J24" s="1118">
        <f>J22/E22</f>
        <v>500.07305669199297</v>
      </c>
      <c r="K24" s="1118">
        <f>K22/E22</f>
        <v>500.07305669199297</v>
      </c>
      <c r="L24" s="1118">
        <f>L22/E22</f>
        <v>500.07305669199297</v>
      </c>
      <c r="M24" s="1118">
        <f>M22/E22</f>
        <v>500.07305669199297</v>
      </c>
      <c r="O24" s="2801"/>
      <c r="P24" s="1996"/>
      <c r="Q24" s="1893"/>
      <c r="R24" s="1893"/>
      <c r="S24" s="2906"/>
      <c r="T24" s="2909"/>
      <c r="U24" s="1893"/>
      <c r="V24" s="103" t="s">
        <v>831</v>
      </c>
      <c r="W24" s="1118">
        <f>W22/S22</f>
        <v>515.0496785505552</v>
      </c>
      <c r="X24" s="1118">
        <f>X22/S22</f>
        <v>515.0496785505552</v>
      </c>
      <c r="Y24" s="1118">
        <f>Y22/S22</f>
        <v>515.0496785505552</v>
      </c>
      <c r="Z24" s="1118">
        <f>Z22/S22</f>
        <v>515.0496785505552</v>
      </c>
      <c r="AA24" s="1118">
        <f>AA22/S22</f>
        <v>515.0496785505552</v>
      </c>
    </row>
    <row r="25" spans="1:27" s="54" customFormat="1" ht="18.75" customHeight="1">
      <c r="A25" s="2035" t="s">
        <v>3333</v>
      </c>
      <c r="B25" s="2910" t="s">
        <v>3753</v>
      </c>
      <c r="C25" s="1281">
        <v>60</v>
      </c>
      <c r="D25" s="1281">
        <v>7</v>
      </c>
      <c r="E25" s="1282">
        <v>4.7907999999999999</v>
      </c>
      <c r="F25" s="2911">
        <v>0.28744799999999998</v>
      </c>
      <c r="G25" s="1281">
        <v>210</v>
      </c>
      <c r="H25" s="103" t="s">
        <v>820</v>
      </c>
      <c r="I25" s="725">
        <f>ROUND(1394*Belarus*(1-C60),2)</f>
        <v>1394</v>
      </c>
      <c r="J25" s="725">
        <f>ROUND(1394*Belarus*(1-C60),2)</f>
        <v>1394</v>
      </c>
      <c r="K25" s="725">
        <f>ROUND(1394*Belarus*(1-C60),2)</f>
        <v>1394</v>
      </c>
      <c r="L25" s="725">
        <f>ROUND(1394*Belarus*(1-C60),2)</f>
        <v>1394</v>
      </c>
      <c r="M25" s="725">
        <f>ROUND(1394*Belarus*(1-C60),2)</f>
        <v>1394</v>
      </c>
      <c r="O25" s="2801"/>
      <c r="P25" s="1996"/>
      <c r="Q25" s="1891" t="s">
        <v>3749</v>
      </c>
      <c r="R25" s="1891">
        <v>3</v>
      </c>
      <c r="S25" s="2904">
        <v>2.0531999999999999</v>
      </c>
      <c r="T25" s="2907">
        <v>0.225852</v>
      </c>
      <c r="U25" s="1891">
        <v>210</v>
      </c>
      <c r="V25" s="81" t="s">
        <v>820</v>
      </c>
      <c r="W25" s="725">
        <f>ROUND(1186*Belarus*(1-C60),2)</f>
        <v>1186</v>
      </c>
      <c r="X25" s="725">
        <f>ROUND(1186*Belarus*(1-C60),2)</f>
        <v>1186</v>
      </c>
      <c r="Y25" s="725">
        <f>ROUND(1186*Belarus*(1-C60),2)</f>
        <v>1186</v>
      </c>
      <c r="Z25" s="725">
        <f>ROUND(1186*Belarus*(1-C60),2)</f>
        <v>1186</v>
      </c>
      <c r="AA25" s="725">
        <f>ROUND(1186*Belarus*(1-C60),2)</f>
        <v>1186</v>
      </c>
    </row>
    <row r="26" spans="1:27" s="54" customFormat="1" ht="18.75" customHeight="1">
      <c r="A26" s="2801"/>
      <c r="B26" s="2910"/>
      <c r="C26" s="1281"/>
      <c r="D26" s="1281"/>
      <c r="E26" s="1282"/>
      <c r="F26" s="2911"/>
      <c r="G26" s="1281"/>
      <c r="H26" s="103" t="s">
        <v>3325</v>
      </c>
      <c r="I26" s="827">
        <f>I25/F25</f>
        <v>4849.5727922963461</v>
      </c>
      <c r="J26" s="827">
        <f>J25/F25</f>
        <v>4849.5727922963461</v>
      </c>
      <c r="K26" s="827">
        <f>K25/F25</f>
        <v>4849.5727922963461</v>
      </c>
      <c r="L26" s="827">
        <f>L25/F25</f>
        <v>4849.5727922963461</v>
      </c>
      <c r="M26" s="827">
        <f>M25/F25</f>
        <v>4849.5727922963461</v>
      </c>
      <c r="O26" s="2801"/>
      <c r="P26" s="1996"/>
      <c r="Q26" s="1892"/>
      <c r="R26" s="1892"/>
      <c r="S26" s="2905"/>
      <c r="T26" s="2908"/>
      <c r="U26" s="1892"/>
      <c r="V26" s="103" t="s">
        <v>3325</v>
      </c>
      <c r="W26" s="827">
        <f>W25/T25</f>
        <v>5251.2264668898215</v>
      </c>
      <c r="X26" s="827">
        <f>X25/T25</f>
        <v>5251.2264668898215</v>
      </c>
      <c r="Y26" s="827">
        <f>Y25/T25</f>
        <v>5251.2264668898215</v>
      </c>
      <c r="Z26" s="827">
        <f>Z25/T25</f>
        <v>5251.2264668898215</v>
      </c>
      <c r="AA26" s="827">
        <f>AA25/T25</f>
        <v>5251.2264668898215</v>
      </c>
    </row>
    <row r="27" spans="1:27" s="54" customFormat="1" ht="18.75" customHeight="1">
      <c r="A27" s="2036"/>
      <c r="B27" s="2910"/>
      <c r="C27" s="1281"/>
      <c r="D27" s="1281"/>
      <c r="E27" s="1282"/>
      <c r="F27" s="2911"/>
      <c r="G27" s="1281"/>
      <c r="H27" s="103" t="s">
        <v>831</v>
      </c>
      <c r="I27" s="1118">
        <f>I25/E25</f>
        <v>290.97436753778072</v>
      </c>
      <c r="J27" s="1118">
        <f>J25/E25</f>
        <v>290.97436753778072</v>
      </c>
      <c r="K27" s="1118">
        <f>K25/E25</f>
        <v>290.97436753778072</v>
      </c>
      <c r="L27" s="1118">
        <f>L25/E25</f>
        <v>290.97436753778072</v>
      </c>
      <c r="M27" s="1118">
        <f>M25/E25</f>
        <v>290.97436753778072</v>
      </c>
      <c r="O27" s="2036"/>
      <c r="P27" s="2001"/>
      <c r="Q27" s="1893"/>
      <c r="R27" s="1893"/>
      <c r="S27" s="2906"/>
      <c r="T27" s="2909"/>
      <c r="U27" s="1893"/>
      <c r="V27" s="103" t="s">
        <v>831</v>
      </c>
      <c r="W27" s="1118">
        <f>W25/S25</f>
        <v>577.63491135788036</v>
      </c>
      <c r="X27" s="1118">
        <f>X25/S25</f>
        <v>577.63491135788036</v>
      </c>
      <c r="Y27" s="1118">
        <f>Y25/S25</f>
        <v>577.63491135788036</v>
      </c>
      <c r="Z27" s="1118">
        <f>Z25/S25</f>
        <v>577.63491135788036</v>
      </c>
      <c r="AA27" s="1118">
        <f>AA25/S25</f>
        <v>577.63491135788036</v>
      </c>
    </row>
    <row r="28" spans="1:27" s="54" customFormat="1" ht="17.25" customHeight="1">
      <c r="A28" s="564"/>
      <c r="B28" s="53"/>
      <c r="C28" s="134"/>
      <c r="D28" s="134"/>
      <c r="E28" s="726"/>
      <c r="F28" s="727"/>
      <c r="G28" s="134"/>
      <c r="H28" s="69"/>
      <c r="I28" s="728"/>
      <c r="J28" s="325"/>
      <c r="K28" s="325"/>
      <c r="L28" s="325"/>
      <c r="M28" s="325"/>
      <c r="O28" s="564"/>
      <c r="P28" s="135"/>
      <c r="Q28" s="134"/>
      <c r="R28" s="134"/>
      <c r="S28" s="726"/>
      <c r="T28" s="727"/>
      <c r="U28" s="134"/>
      <c r="V28" s="69"/>
      <c r="W28" s="728"/>
      <c r="X28" s="325"/>
      <c r="Y28" s="325"/>
      <c r="Z28" s="325"/>
      <c r="AA28" s="325"/>
    </row>
    <row r="30" spans="1:27" s="184" customFormat="1" ht="12.75" customHeight="1">
      <c r="A30" s="107" t="s">
        <v>307</v>
      </c>
      <c r="B30" s="107" t="s">
        <v>1073</v>
      </c>
      <c r="C30" s="1388" t="s">
        <v>2503</v>
      </c>
      <c r="D30" s="1388"/>
      <c r="E30" s="1388"/>
      <c r="F30" s="1388"/>
      <c r="G30" s="1388"/>
      <c r="H30" s="107" t="s">
        <v>622</v>
      </c>
      <c r="I30" s="1491" t="s">
        <v>6919</v>
      </c>
      <c r="J30" s="1491"/>
      <c r="K30" s="1491"/>
      <c r="L30" s="1491"/>
      <c r="M30" s="1491"/>
      <c r="O30" s="107" t="s">
        <v>307</v>
      </c>
      <c r="P30" s="107" t="s">
        <v>1073</v>
      </c>
      <c r="Q30" s="1388" t="s">
        <v>2503</v>
      </c>
      <c r="R30" s="1388"/>
      <c r="S30" s="1388"/>
      <c r="T30" s="1388"/>
      <c r="U30" s="1388"/>
      <c r="V30" s="107" t="s">
        <v>622</v>
      </c>
      <c r="W30" s="1491" t="s">
        <v>6920</v>
      </c>
      <c r="X30" s="1491"/>
      <c r="Y30" s="1491"/>
      <c r="Z30" s="1491"/>
      <c r="AA30" s="1491"/>
    </row>
    <row r="31" spans="1:27" s="46" customFormat="1" ht="17.25" customHeight="1">
      <c r="A31" s="2220" t="s">
        <v>3324</v>
      </c>
      <c r="B31" s="2220"/>
      <c r="C31" s="2220"/>
      <c r="D31" s="2220"/>
      <c r="E31" s="2220"/>
      <c r="F31" s="2220"/>
      <c r="G31" s="2220"/>
      <c r="H31" s="2220"/>
      <c r="I31" s="2220"/>
      <c r="J31" s="2220"/>
      <c r="K31" s="2220"/>
      <c r="L31" s="2220"/>
      <c r="M31" s="2220"/>
      <c r="N31" s="2220"/>
      <c r="O31" s="2220"/>
      <c r="P31" s="2220"/>
      <c r="Q31" s="2220"/>
      <c r="R31" s="2220"/>
      <c r="S31" s="2220"/>
      <c r="T31" s="2220"/>
      <c r="U31" s="2220"/>
      <c r="V31" s="2220"/>
      <c r="W31" s="2220"/>
      <c r="X31" s="2220"/>
      <c r="Y31" s="2220"/>
      <c r="Z31" s="2220"/>
      <c r="AA31" s="2220"/>
    </row>
    <row r="32" spans="1:27" s="184" customFormat="1" ht="55.5" customHeight="1">
      <c r="A32" s="372" t="s">
        <v>3754</v>
      </c>
      <c r="B32" s="372" t="s">
        <v>3327</v>
      </c>
      <c r="C32" s="1779" t="s">
        <v>3755</v>
      </c>
      <c r="D32" s="1780"/>
      <c r="E32" s="1780"/>
      <c r="F32" s="1780"/>
      <c r="G32" s="1781"/>
      <c r="H32" s="103" t="s">
        <v>640</v>
      </c>
      <c r="I32" s="2912">
        <f>ROUND(295*Belarus*(1-C61),2)</f>
        <v>295</v>
      </c>
      <c r="J32" s="2913"/>
      <c r="K32" s="2913"/>
      <c r="L32" s="2913"/>
      <c r="M32" s="2914"/>
      <c r="O32" s="372" t="s">
        <v>3756</v>
      </c>
      <c r="P32" s="372" t="s">
        <v>3757</v>
      </c>
      <c r="Q32" s="1351" t="s">
        <v>3758</v>
      </c>
      <c r="R32" s="1351"/>
      <c r="S32" s="1351"/>
      <c r="T32" s="1351"/>
      <c r="U32" s="1351"/>
      <c r="V32" s="103" t="s">
        <v>820</v>
      </c>
      <c r="W32" s="2912">
        <f>ROUND(7050*Belarus*(1-C61),2)</f>
        <v>7050</v>
      </c>
      <c r="X32" s="2913"/>
      <c r="Y32" s="2913"/>
      <c r="Z32" s="2913"/>
      <c r="AA32" s="2914"/>
    </row>
    <row r="33" spans="1:27" s="184" customFormat="1" ht="54.75" customHeight="1">
      <c r="A33" s="372" t="s">
        <v>3328</v>
      </c>
      <c r="B33" s="372" t="s">
        <v>3759</v>
      </c>
      <c r="C33" s="1332" t="s">
        <v>3760</v>
      </c>
      <c r="D33" s="1332"/>
      <c r="E33" s="1332"/>
      <c r="F33" s="1332"/>
      <c r="G33" s="1332"/>
      <c r="H33" s="103" t="s">
        <v>820</v>
      </c>
      <c r="I33" s="2912">
        <f>ROUND(1500*Belarus*(1-C61),2)</f>
        <v>1500</v>
      </c>
      <c r="J33" s="2913"/>
      <c r="K33" s="2913"/>
      <c r="L33" s="2913"/>
      <c r="M33" s="2914"/>
      <c r="O33" s="729" t="s">
        <v>3332</v>
      </c>
      <c r="P33" s="372" t="s">
        <v>3761</v>
      </c>
      <c r="Q33" s="1351" t="s">
        <v>3762</v>
      </c>
      <c r="R33" s="1351"/>
      <c r="S33" s="1351"/>
      <c r="T33" s="1351"/>
      <c r="U33" s="1351"/>
      <c r="V33" s="103" t="s">
        <v>820</v>
      </c>
      <c r="W33" s="2912">
        <f>ROUND(3000*Belarus*(1-C61),2)</f>
        <v>3000</v>
      </c>
      <c r="X33" s="2913"/>
      <c r="Y33" s="2913"/>
      <c r="Z33" s="2913"/>
      <c r="AA33" s="2914"/>
    </row>
    <row r="34" spans="1:27" ht="84.75" customHeight="1">
      <c r="A34" s="372" t="s">
        <v>3330</v>
      </c>
      <c r="B34" s="372" t="s">
        <v>3763</v>
      </c>
      <c r="C34" s="1332" t="s">
        <v>3764</v>
      </c>
      <c r="D34" s="1332"/>
      <c r="E34" s="1332"/>
      <c r="F34" s="1332"/>
      <c r="G34" s="1332"/>
      <c r="H34" s="103" t="s">
        <v>820</v>
      </c>
      <c r="I34" s="2912">
        <f>ROUND(1350*Belarus*(1-C61),2)</f>
        <v>1350</v>
      </c>
      <c r="J34" s="2913"/>
      <c r="K34" s="2913"/>
      <c r="L34" s="2913"/>
      <c r="M34" s="2914"/>
      <c r="O34" s="124" t="s">
        <v>3765</v>
      </c>
      <c r="P34" s="372"/>
      <c r="Q34" s="1351" t="s">
        <v>3766</v>
      </c>
      <c r="R34" s="1351"/>
      <c r="S34" s="1351"/>
      <c r="T34" s="1351"/>
      <c r="U34" s="1351"/>
      <c r="V34" s="629" t="s">
        <v>640</v>
      </c>
      <c r="W34" s="2912">
        <f>ROUND(2322*Belarus*(1-C62),2)</f>
        <v>2322</v>
      </c>
      <c r="X34" s="2913"/>
      <c r="Y34" s="2913"/>
      <c r="Z34" s="2913"/>
      <c r="AA34" s="2914"/>
    </row>
    <row r="35" spans="1:27">
      <c r="A35" s="653"/>
      <c r="B35" s="653"/>
      <c r="C35" s="653"/>
      <c r="D35" s="653"/>
      <c r="E35" s="653"/>
      <c r="F35" s="653"/>
      <c r="G35" s="653"/>
      <c r="H35" s="76"/>
      <c r="I35" s="653"/>
      <c r="J35" s="653"/>
      <c r="K35" s="730"/>
      <c r="L35" s="730"/>
      <c r="M35" s="653"/>
    </row>
    <row r="36" spans="1:27">
      <c r="A36" s="653"/>
      <c r="B36" s="653"/>
      <c r="C36" s="653"/>
      <c r="D36" s="653"/>
      <c r="E36" s="653"/>
      <c r="F36" s="653"/>
      <c r="G36" s="653"/>
      <c r="H36" s="76"/>
      <c r="I36" s="653"/>
      <c r="J36" s="653"/>
      <c r="K36" s="730"/>
      <c r="L36" s="730"/>
      <c r="M36" s="653"/>
    </row>
    <row r="37" spans="1:27" ht="18.75" thickBot="1">
      <c r="A37" s="1273" t="s">
        <v>3334</v>
      </c>
      <c r="B37" s="1273"/>
      <c r="C37" s="1273"/>
      <c r="D37" s="1273"/>
      <c r="E37" s="1273"/>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row>
    <row r="38" spans="1:27">
      <c r="V38" s="588" t="s">
        <v>804</v>
      </c>
      <c r="W38" s="588"/>
      <c r="X38" s="588"/>
      <c r="Y38" s="588"/>
      <c r="Z38" s="588"/>
      <c r="AA38" s="628">
        <v>43301</v>
      </c>
    </row>
    <row r="39" spans="1:27" ht="34.5" customHeight="1">
      <c r="A39" s="107" t="s">
        <v>307</v>
      </c>
      <c r="B39" s="1501" t="s">
        <v>2503</v>
      </c>
      <c r="C39" s="1585"/>
      <c r="D39" s="1585"/>
      <c r="E39" s="1388" t="s">
        <v>3335</v>
      </c>
      <c r="F39" s="1388"/>
      <c r="G39" s="107" t="s">
        <v>3767</v>
      </c>
      <c r="H39" s="62" t="s">
        <v>622</v>
      </c>
      <c r="I39" s="1491" t="s">
        <v>6920</v>
      </c>
      <c r="J39" s="1491"/>
      <c r="K39" s="1491"/>
      <c r="L39" s="1491"/>
      <c r="M39" s="1491"/>
      <c r="O39" s="107" t="s">
        <v>307</v>
      </c>
      <c r="P39" s="1501" t="s">
        <v>2503</v>
      </c>
      <c r="Q39" s="1585"/>
      <c r="R39" s="1585"/>
      <c r="S39" s="1585"/>
      <c r="T39" s="1502"/>
      <c r="U39" s="107" t="s">
        <v>1073</v>
      </c>
      <c r="V39" s="62" t="s">
        <v>622</v>
      </c>
      <c r="W39" s="1491" t="s">
        <v>6920</v>
      </c>
      <c r="X39" s="1491"/>
      <c r="Y39" s="1491"/>
      <c r="Z39" s="1491"/>
      <c r="AA39" s="1491"/>
    </row>
    <row r="40" spans="1:27" ht="13.5" customHeight="1">
      <c r="A40" s="2219" t="s">
        <v>3334</v>
      </c>
      <c r="B40" s="2915"/>
      <c r="C40" s="2915"/>
      <c r="D40" s="2915"/>
      <c r="E40" s="2915"/>
      <c r="F40" s="2915"/>
      <c r="G40" s="2915"/>
      <c r="H40" s="2915"/>
      <c r="I40" s="2915"/>
      <c r="J40" s="2915"/>
      <c r="K40" s="2915"/>
      <c r="L40" s="2915"/>
      <c r="M40" s="2916"/>
      <c r="O40" s="1495" t="s">
        <v>3336</v>
      </c>
      <c r="P40" s="1495"/>
      <c r="Q40" s="1495"/>
      <c r="R40" s="1495"/>
      <c r="S40" s="1495"/>
      <c r="T40" s="1495"/>
      <c r="U40" s="1495"/>
      <c r="V40" s="1495"/>
      <c r="W40" s="1495"/>
      <c r="X40" s="1495"/>
      <c r="Y40" s="1495"/>
      <c r="Z40" s="1495"/>
      <c r="AA40" s="1495"/>
    </row>
    <row r="41" spans="1:27" s="653" customFormat="1" ht="18.75" customHeight="1">
      <c r="A41" s="2714" t="s">
        <v>3337</v>
      </c>
      <c r="B41" s="1332" t="s">
        <v>3768</v>
      </c>
      <c r="C41" s="1332"/>
      <c r="D41" s="1332"/>
      <c r="E41" s="1281">
        <v>450</v>
      </c>
      <c r="F41" s="1281"/>
      <c r="G41" s="1281" t="s">
        <v>3338</v>
      </c>
      <c r="H41" s="103" t="s">
        <v>831</v>
      </c>
      <c r="I41" s="2917">
        <f>ROUND(128.4*Belarus*(1-C63),2)</f>
        <v>128.4</v>
      </c>
      <c r="J41" s="2918"/>
      <c r="K41" s="2918"/>
      <c r="L41" s="2918"/>
      <c r="M41" s="2919"/>
      <c r="O41" s="2920" t="s">
        <v>3339</v>
      </c>
      <c r="P41" s="2921" t="s">
        <v>3769</v>
      </c>
      <c r="Q41" s="2921"/>
      <c r="R41" s="2921"/>
      <c r="S41" s="2921"/>
      <c r="T41" s="2921"/>
      <c r="U41" s="2922" t="s">
        <v>3340</v>
      </c>
      <c r="V41" s="1530" t="s">
        <v>640</v>
      </c>
      <c r="W41" s="2923">
        <f>ROUND(623*Belarus*(1-C64),2)</f>
        <v>623</v>
      </c>
      <c r="X41" s="2924"/>
      <c r="Y41" s="2924"/>
      <c r="Z41" s="2924"/>
      <c r="AA41" s="2925"/>
    </row>
    <row r="42" spans="1:27" s="653" customFormat="1" ht="18.75" customHeight="1">
      <c r="A42" s="2717"/>
      <c r="B42" s="1332"/>
      <c r="C42" s="1332"/>
      <c r="D42" s="1332"/>
      <c r="E42" s="1281"/>
      <c r="F42" s="1281"/>
      <c r="G42" s="1281"/>
      <c r="H42" s="103" t="s">
        <v>3770</v>
      </c>
      <c r="I42" s="2855">
        <f>I41*2*20</f>
        <v>5136</v>
      </c>
      <c r="J42" s="2929"/>
      <c r="K42" s="2929"/>
      <c r="L42" s="2929"/>
      <c r="M42" s="2856"/>
      <c r="O42" s="2920"/>
      <c r="P42" s="2921"/>
      <c r="Q42" s="2921"/>
      <c r="R42" s="2921"/>
      <c r="S42" s="2921"/>
      <c r="T42" s="2921"/>
      <c r="U42" s="2922"/>
      <c r="V42" s="1530"/>
      <c r="W42" s="2926"/>
      <c r="X42" s="2927"/>
      <c r="Y42" s="2927"/>
      <c r="Z42" s="2927"/>
      <c r="AA42" s="2928"/>
    </row>
    <row r="43" spans="1:27" s="653" customFormat="1" ht="18.75" customHeight="1">
      <c r="A43" s="2717"/>
      <c r="B43" s="1332"/>
      <c r="C43" s="1332"/>
      <c r="D43" s="1332"/>
      <c r="E43" s="1281"/>
      <c r="F43" s="1281"/>
      <c r="G43" s="1281" t="s">
        <v>3341</v>
      </c>
      <c r="H43" s="103" t="s">
        <v>831</v>
      </c>
      <c r="I43" s="2930">
        <f>ROUND(133*Belarus*(1-C63),2)</f>
        <v>133</v>
      </c>
      <c r="J43" s="2931"/>
      <c r="K43" s="2931"/>
      <c r="L43" s="2931"/>
      <c r="M43" s="2932"/>
      <c r="O43" s="2920" t="s">
        <v>3342</v>
      </c>
      <c r="P43" s="2921" t="s">
        <v>3771</v>
      </c>
      <c r="Q43" s="2921"/>
      <c r="R43" s="2921"/>
      <c r="S43" s="2921"/>
      <c r="T43" s="2921"/>
      <c r="U43" s="2922" t="s">
        <v>3343</v>
      </c>
      <c r="V43" s="1530" t="s">
        <v>640</v>
      </c>
      <c r="W43" s="2923">
        <f>ROUND(426*Belarus*(1-C64),2)</f>
        <v>426</v>
      </c>
      <c r="X43" s="2924"/>
      <c r="Y43" s="2924"/>
      <c r="Z43" s="2924"/>
      <c r="AA43" s="2925"/>
    </row>
    <row r="44" spans="1:27" s="653" customFormat="1" ht="18.75" customHeight="1">
      <c r="A44" s="2720"/>
      <c r="B44" s="1332"/>
      <c r="C44" s="1332"/>
      <c r="D44" s="1332"/>
      <c r="E44" s="1281"/>
      <c r="F44" s="1281"/>
      <c r="G44" s="1281"/>
      <c r="H44" s="103" t="s">
        <v>3770</v>
      </c>
      <c r="I44" s="2855">
        <f>I43*2*10</f>
        <v>2660</v>
      </c>
      <c r="J44" s="2929"/>
      <c r="K44" s="2929"/>
      <c r="L44" s="2929"/>
      <c r="M44" s="2856"/>
      <c r="O44" s="2920"/>
      <c r="P44" s="2921"/>
      <c r="Q44" s="2921"/>
      <c r="R44" s="2921"/>
      <c r="S44" s="2921"/>
      <c r="T44" s="2921"/>
      <c r="U44" s="2922"/>
      <c r="V44" s="1530"/>
      <c r="W44" s="2926"/>
      <c r="X44" s="2927"/>
      <c r="Y44" s="2927"/>
      <c r="Z44" s="2927"/>
      <c r="AA44" s="2928"/>
    </row>
    <row r="45" spans="1:27" s="653" customFormat="1" ht="18.75" customHeight="1">
      <c r="A45" s="2715" t="s">
        <v>3344</v>
      </c>
      <c r="B45" s="1332" t="s">
        <v>3772</v>
      </c>
      <c r="C45" s="1332"/>
      <c r="D45" s="1332"/>
      <c r="E45" s="1281">
        <v>550</v>
      </c>
      <c r="F45" s="1281"/>
      <c r="G45" s="1281" t="s">
        <v>3338</v>
      </c>
      <c r="H45" s="103" t="s">
        <v>831</v>
      </c>
      <c r="I45" s="2917">
        <f>ROUND(149.8*Belarus*(1-C63),2)</f>
        <v>149.80000000000001</v>
      </c>
      <c r="J45" s="2918"/>
      <c r="K45" s="2918"/>
      <c r="L45" s="2918"/>
      <c r="M45" s="2919"/>
      <c r="O45" s="2920" t="s">
        <v>3345</v>
      </c>
      <c r="P45" s="2921" t="s">
        <v>3773</v>
      </c>
      <c r="Q45" s="2921"/>
      <c r="R45" s="2921"/>
      <c r="S45" s="2921"/>
      <c r="T45" s="2921"/>
      <c r="U45" s="2922" t="s">
        <v>3346</v>
      </c>
      <c r="V45" s="1530" t="s">
        <v>640</v>
      </c>
      <c r="W45" s="2923">
        <f>ROUND(15*Belarus*(1-C64),2)</f>
        <v>15</v>
      </c>
      <c r="X45" s="2924"/>
      <c r="Y45" s="2924"/>
      <c r="Z45" s="2924"/>
      <c r="AA45" s="2925"/>
    </row>
    <row r="46" spans="1:27" s="653" customFormat="1" ht="18.75" customHeight="1">
      <c r="A46" s="2718"/>
      <c r="B46" s="1332"/>
      <c r="C46" s="1332"/>
      <c r="D46" s="1332"/>
      <c r="E46" s="1281"/>
      <c r="F46" s="1281"/>
      <c r="G46" s="1281"/>
      <c r="H46" s="103" t="s">
        <v>3770</v>
      </c>
      <c r="I46" s="2855">
        <f>I45*2*20</f>
        <v>5992</v>
      </c>
      <c r="J46" s="2929"/>
      <c r="K46" s="2929"/>
      <c r="L46" s="2929"/>
      <c r="M46" s="2856"/>
      <c r="O46" s="2920"/>
      <c r="P46" s="2921"/>
      <c r="Q46" s="2921"/>
      <c r="R46" s="2921"/>
      <c r="S46" s="2921"/>
      <c r="T46" s="2921"/>
      <c r="U46" s="2922"/>
      <c r="V46" s="1530"/>
      <c r="W46" s="2933"/>
      <c r="X46" s="2934"/>
      <c r="Y46" s="2934"/>
      <c r="Z46" s="2934"/>
      <c r="AA46" s="2935"/>
    </row>
    <row r="47" spans="1:27" s="653" customFormat="1" ht="18.75" customHeight="1">
      <c r="A47" s="2718"/>
      <c r="B47" s="1332"/>
      <c r="C47" s="1332"/>
      <c r="D47" s="1332"/>
      <c r="E47" s="1281"/>
      <c r="F47" s="1281"/>
      <c r="G47" s="1281" t="s">
        <v>3347</v>
      </c>
      <c r="H47" s="103" t="s">
        <v>831</v>
      </c>
      <c r="I47" s="2917">
        <f>ROUND(151*Belarus*(1-C63),2)</f>
        <v>151</v>
      </c>
      <c r="J47" s="2918"/>
      <c r="K47" s="2918"/>
      <c r="L47" s="2918"/>
      <c r="M47" s="2919"/>
      <c r="O47" s="2920"/>
      <c r="P47" s="2921"/>
      <c r="Q47" s="2921"/>
      <c r="R47" s="2921"/>
      <c r="S47" s="2921"/>
      <c r="T47" s="2921"/>
      <c r="U47" s="2922"/>
      <c r="V47" s="1530"/>
      <c r="W47" s="2926"/>
      <c r="X47" s="2927"/>
      <c r="Y47" s="2927"/>
      <c r="Z47" s="2927"/>
      <c r="AA47" s="2928"/>
    </row>
    <row r="48" spans="1:27" s="653" customFormat="1" ht="18.75" customHeight="1">
      <c r="A48" s="2718"/>
      <c r="B48" s="1332"/>
      <c r="C48" s="1332"/>
      <c r="D48" s="1332"/>
      <c r="E48" s="1281"/>
      <c r="F48" s="1281"/>
      <c r="G48" s="1281"/>
      <c r="H48" s="103" t="s">
        <v>3770</v>
      </c>
      <c r="I48" s="2855">
        <f>I47*1*20</f>
        <v>3020</v>
      </c>
      <c r="J48" s="2929"/>
      <c r="K48" s="2929"/>
      <c r="L48" s="2929"/>
      <c r="M48" s="2856"/>
      <c r="O48" s="2920" t="s">
        <v>3348</v>
      </c>
      <c r="P48" s="2921" t="s">
        <v>3774</v>
      </c>
      <c r="Q48" s="2921"/>
      <c r="R48" s="2921"/>
      <c r="S48" s="2921"/>
      <c r="T48" s="2921"/>
      <c r="U48" s="2922" t="s">
        <v>3349</v>
      </c>
      <c r="V48" s="1530" t="s">
        <v>640</v>
      </c>
      <c r="W48" s="2923">
        <f>ROUND(6.8*Belarus*(1-C64),2)</f>
        <v>6.8</v>
      </c>
      <c r="X48" s="2924"/>
      <c r="Y48" s="2924"/>
      <c r="Z48" s="2924"/>
      <c r="AA48" s="2925"/>
    </row>
    <row r="49" spans="1:27" s="653" customFormat="1" ht="18.75" customHeight="1">
      <c r="A49" s="2718"/>
      <c r="B49" s="1332"/>
      <c r="C49" s="1332"/>
      <c r="D49" s="1332"/>
      <c r="E49" s="1281"/>
      <c r="F49" s="1281"/>
      <c r="G49" s="1281" t="s">
        <v>3341</v>
      </c>
      <c r="H49" s="103" t="s">
        <v>831</v>
      </c>
      <c r="I49" s="2917">
        <f>ROUND(151*Belarus*(1-C63),2)</f>
        <v>151</v>
      </c>
      <c r="J49" s="2918"/>
      <c r="K49" s="2918"/>
      <c r="L49" s="2918"/>
      <c r="M49" s="2919"/>
      <c r="O49" s="2920"/>
      <c r="P49" s="2921"/>
      <c r="Q49" s="2921"/>
      <c r="R49" s="2921"/>
      <c r="S49" s="2921"/>
      <c r="T49" s="2921"/>
      <c r="U49" s="2922"/>
      <c r="V49" s="1530"/>
      <c r="W49" s="2926"/>
      <c r="X49" s="2927"/>
      <c r="Y49" s="2927"/>
      <c r="Z49" s="2927"/>
      <c r="AA49" s="2928"/>
    </row>
    <row r="50" spans="1:27" s="653" customFormat="1" ht="18.75" customHeight="1">
      <c r="A50" s="2721"/>
      <c r="B50" s="1332"/>
      <c r="C50" s="1332"/>
      <c r="D50" s="1332"/>
      <c r="E50" s="1281"/>
      <c r="F50" s="1281"/>
      <c r="G50" s="1281"/>
      <c r="H50" s="103" t="s">
        <v>3770</v>
      </c>
      <c r="I50" s="2855">
        <f>I49*2*10</f>
        <v>3020</v>
      </c>
      <c r="J50" s="2929"/>
      <c r="K50" s="2929"/>
      <c r="L50" s="2929"/>
      <c r="M50" s="2856"/>
      <c r="O50" s="2920" t="s">
        <v>3350</v>
      </c>
      <c r="P50" s="2921" t="s">
        <v>3775</v>
      </c>
      <c r="Q50" s="2921"/>
      <c r="R50" s="2921"/>
      <c r="S50" s="2921"/>
      <c r="T50" s="2921"/>
      <c r="U50" s="2922" t="s">
        <v>3351</v>
      </c>
      <c r="V50" s="1530" t="s">
        <v>640</v>
      </c>
      <c r="W50" s="2923">
        <f>ROUND(11.6*Belarus*(1-C64),2)</f>
        <v>11.6</v>
      </c>
      <c r="X50" s="2924"/>
      <c r="Y50" s="2924"/>
      <c r="Z50" s="2924"/>
      <c r="AA50" s="2925"/>
    </row>
    <row r="51" spans="1:27" s="653" customFormat="1" ht="18.75" customHeight="1">
      <c r="A51" s="2703" t="s">
        <v>3352</v>
      </c>
      <c r="B51" s="1351" t="s">
        <v>3776</v>
      </c>
      <c r="C51" s="1532"/>
      <c r="D51" s="1532"/>
      <c r="E51" s="1281">
        <v>650</v>
      </c>
      <c r="F51" s="1281"/>
      <c r="G51" s="1281" t="s">
        <v>3353</v>
      </c>
      <c r="H51" s="103" t="s">
        <v>831</v>
      </c>
      <c r="I51" s="2917">
        <f>ROUND(310.3*Belarus*(1-C63),2)</f>
        <v>310.3</v>
      </c>
      <c r="J51" s="2918"/>
      <c r="K51" s="2918"/>
      <c r="L51" s="2918"/>
      <c r="M51" s="2919"/>
      <c r="O51" s="2920"/>
      <c r="P51" s="2921"/>
      <c r="Q51" s="2921"/>
      <c r="R51" s="2921"/>
      <c r="S51" s="2921"/>
      <c r="T51" s="2921"/>
      <c r="U51" s="2922"/>
      <c r="V51" s="1530"/>
      <c r="W51" s="2926"/>
      <c r="X51" s="2927"/>
      <c r="Y51" s="2927"/>
      <c r="Z51" s="2927"/>
      <c r="AA51" s="2928"/>
    </row>
    <row r="52" spans="1:27" s="653" customFormat="1" ht="27" customHeight="1">
      <c r="A52" s="2703"/>
      <c r="B52" s="1532"/>
      <c r="C52" s="1532"/>
      <c r="D52" s="1532"/>
      <c r="E52" s="1281"/>
      <c r="F52" s="1281"/>
      <c r="G52" s="1281"/>
      <c r="H52" s="103" t="s">
        <v>3770</v>
      </c>
      <c r="I52" s="2855">
        <f>I51*2*15</f>
        <v>9309</v>
      </c>
      <c r="J52" s="2929"/>
      <c r="K52" s="2929"/>
      <c r="L52" s="2929"/>
      <c r="M52" s="2856"/>
      <c r="O52" s="1220" t="s">
        <v>3354</v>
      </c>
      <c r="P52" s="2921" t="s">
        <v>3777</v>
      </c>
      <c r="Q52" s="2921"/>
      <c r="R52" s="2921"/>
      <c r="S52" s="2921"/>
      <c r="T52" s="2921"/>
      <c r="U52" s="630" t="s">
        <v>3355</v>
      </c>
      <c r="V52" s="103" t="s">
        <v>640</v>
      </c>
      <c r="W52" s="2936">
        <f>ROUND(100.8*Belarus*(1-C64),2)</f>
        <v>100.8</v>
      </c>
      <c r="X52" s="2937"/>
      <c r="Y52" s="2937"/>
      <c r="Z52" s="2937"/>
      <c r="AA52" s="2938"/>
    </row>
    <row r="55" spans="1:27">
      <c r="A55" s="631" t="s">
        <v>1127</v>
      </c>
    </row>
    <row r="56" spans="1:27">
      <c r="A56" s="1"/>
      <c r="B56" s="631"/>
      <c r="C56" s="631"/>
      <c r="D56" s="631"/>
      <c r="E56" s="631"/>
      <c r="F56" s="631"/>
      <c r="G56" s="631"/>
      <c r="H56" s="631"/>
      <c r="I56" s="631"/>
      <c r="J56" s="631"/>
      <c r="K56" s="631"/>
      <c r="L56" s="631"/>
      <c r="M56" s="631"/>
    </row>
    <row r="57" spans="1:27">
      <c r="A57" s="1"/>
      <c r="B57" s="1"/>
      <c r="C57" s="1"/>
      <c r="D57" s="24"/>
      <c r="E57" s="24"/>
      <c r="F57" s="1"/>
      <c r="G57" s="1"/>
      <c r="H57" s="1"/>
      <c r="I57" s="1"/>
      <c r="J57" s="1"/>
      <c r="K57" s="1"/>
      <c r="L57" s="1"/>
      <c r="M57" s="1"/>
    </row>
    <row r="59" spans="1:27">
      <c r="A59" s="2845" t="s">
        <v>508</v>
      </c>
      <c r="B59" s="2939"/>
      <c r="C59" s="2846"/>
      <c r="M59" s="1"/>
    </row>
    <row r="60" spans="1:27">
      <c r="A60" s="2899" t="s">
        <v>3356</v>
      </c>
      <c r="B60" s="2899"/>
      <c r="C60" s="590">
        <v>0</v>
      </c>
    </row>
    <row r="61" spans="1:27">
      <c r="A61" s="2899" t="s">
        <v>3357</v>
      </c>
      <c r="B61" s="2899"/>
      <c r="C61" s="590">
        <v>0</v>
      </c>
    </row>
    <row r="62" spans="1:27">
      <c r="A62" s="2899" t="s">
        <v>3358</v>
      </c>
      <c r="B62" s="2899"/>
      <c r="C62" s="590">
        <v>0</v>
      </c>
    </row>
    <row r="63" spans="1:27" s="46" customFormat="1">
      <c r="A63" s="2899" t="s">
        <v>3359</v>
      </c>
      <c r="B63" s="2899"/>
      <c r="C63" s="590">
        <v>0</v>
      </c>
      <c r="N63" s="1"/>
      <c r="O63" s="1"/>
      <c r="P63" s="1"/>
      <c r="Q63" s="1"/>
      <c r="R63" s="1"/>
      <c r="S63" s="1"/>
      <c r="T63" s="1"/>
      <c r="U63" s="1"/>
      <c r="V63" s="1"/>
      <c r="W63" s="1"/>
      <c r="X63" s="1"/>
      <c r="Y63" s="1"/>
      <c r="Z63" s="1"/>
      <c r="AA63" s="1"/>
    </row>
    <row r="64" spans="1:27" s="46" customFormat="1">
      <c r="A64" s="2899" t="s">
        <v>3360</v>
      </c>
      <c r="B64" s="2899"/>
      <c r="C64" s="590">
        <v>0</v>
      </c>
      <c r="N64" s="1"/>
      <c r="O64" s="1"/>
      <c r="P64" s="1"/>
      <c r="Q64" s="1"/>
      <c r="R64" s="1"/>
      <c r="S64" s="1"/>
      <c r="T64" s="1"/>
      <c r="U64" s="1"/>
      <c r="V64" s="1"/>
      <c r="W64" s="1"/>
      <c r="X64" s="1"/>
      <c r="Y64" s="1"/>
      <c r="Z64" s="1"/>
      <c r="AA64" s="1"/>
    </row>
  </sheetData>
  <mergeCells count="180">
    <mergeCell ref="A64:B64"/>
    <mergeCell ref="W52:AA52"/>
    <mergeCell ref="A59:C59"/>
    <mergeCell ref="A60:B60"/>
    <mergeCell ref="A61:B61"/>
    <mergeCell ref="A62:B62"/>
    <mergeCell ref="A63:B63"/>
    <mergeCell ref="U50:U51"/>
    <mergeCell ref="V50:V51"/>
    <mergeCell ref="W50:AA51"/>
    <mergeCell ref="A51:A52"/>
    <mergeCell ref="B51:D52"/>
    <mergeCell ref="E51:F52"/>
    <mergeCell ref="G51:G52"/>
    <mergeCell ref="I51:M51"/>
    <mergeCell ref="I52:M52"/>
    <mergeCell ref="P52:T52"/>
    <mergeCell ref="O48:O49"/>
    <mergeCell ref="P48:T49"/>
    <mergeCell ref="U48:U49"/>
    <mergeCell ref="V48:V49"/>
    <mergeCell ref="W48:AA49"/>
    <mergeCell ref="G49:G50"/>
    <mergeCell ref="I49:M49"/>
    <mergeCell ref="I50:M50"/>
    <mergeCell ref="O50:O51"/>
    <mergeCell ref="P50:T51"/>
    <mergeCell ref="O45:O47"/>
    <mergeCell ref="P45:T47"/>
    <mergeCell ref="U45:U47"/>
    <mergeCell ref="V45:V47"/>
    <mergeCell ref="W45:AA47"/>
    <mergeCell ref="I46:M46"/>
    <mergeCell ref="I47:M47"/>
    <mergeCell ref="I44:M44"/>
    <mergeCell ref="A45:A50"/>
    <mergeCell ref="B45:D50"/>
    <mergeCell ref="E45:F50"/>
    <mergeCell ref="G45:G46"/>
    <mergeCell ref="I45:M45"/>
    <mergeCell ref="G47:G48"/>
    <mergeCell ref="I48:M48"/>
    <mergeCell ref="V41:V42"/>
    <mergeCell ref="W41:AA42"/>
    <mergeCell ref="I42:M42"/>
    <mergeCell ref="G43:G44"/>
    <mergeCell ref="I43:M43"/>
    <mergeCell ref="O43:O44"/>
    <mergeCell ref="P43:T44"/>
    <mergeCell ref="U43:U44"/>
    <mergeCell ref="V43:V44"/>
    <mergeCell ref="W43:AA44"/>
    <mergeCell ref="A40:M40"/>
    <mergeCell ref="O40:AA40"/>
    <mergeCell ref="A41:A44"/>
    <mergeCell ref="B41:D44"/>
    <mergeCell ref="E41:F44"/>
    <mergeCell ref="G41:G42"/>
    <mergeCell ref="I41:M41"/>
    <mergeCell ref="O41:O42"/>
    <mergeCell ref="P41:T42"/>
    <mergeCell ref="U41:U42"/>
    <mergeCell ref="A37:AA37"/>
    <mergeCell ref="B39:D39"/>
    <mergeCell ref="E39:F39"/>
    <mergeCell ref="I39:M39"/>
    <mergeCell ref="P39:T39"/>
    <mergeCell ref="W39:AA39"/>
    <mergeCell ref="C33:G33"/>
    <mergeCell ref="I33:M33"/>
    <mergeCell ref="Q33:U33"/>
    <mergeCell ref="W33:AA33"/>
    <mergeCell ref="C34:G34"/>
    <mergeCell ref="I34:M34"/>
    <mergeCell ref="Q34:U34"/>
    <mergeCell ref="W34:AA34"/>
    <mergeCell ref="W30:AA30"/>
    <mergeCell ref="A31:AA31"/>
    <mergeCell ref="C32:G32"/>
    <mergeCell ref="I32:M32"/>
    <mergeCell ref="Q32:U32"/>
    <mergeCell ref="W32:AA32"/>
    <mergeCell ref="S25:S27"/>
    <mergeCell ref="T25:T27"/>
    <mergeCell ref="U25:U27"/>
    <mergeCell ref="C30:G30"/>
    <mergeCell ref="I30:M30"/>
    <mergeCell ref="Q30:U30"/>
    <mergeCell ref="U22:U24"/>
    <mergeCell ref="A25:A27"/>
    <mergeCell ref="B25:B27"/>
    <mergeCell ref="C25:C27"/>
    <mergeCell ref="D25:D27"/>
    <mergeCell ref="E25:E27"/>
    <mergeCell ref="F25:F27"/>
    <mergeCell ref="G25:G27"/>
    <mergeCell ref="Q25:Q27"/>
    <mergeCell ref="R25:R27"/>
    <mergeCell ref="F22:F24"/>
    <mergeCell ref="G22:G24"/>
    <mergeCell ref="Q22:Q24"/>
    <mergeCell ref="R22:R24"/>
    <mergeCell ref="S22:S24"/>
    <mergeCell ref="T22:T24"/>
    <mergeCell ref="Q19:Q21"/>
    <mergeCell ref="R19:R21"/>
    <mergeCell ref="S19:S21"/>
    <mergeCell ref="T19:T21"/>
    <mergeCell ref="U19:U21"/>
    <mergeCell ref="A22:A24"/>
    <mergeCell ref="B22:B24"/>
    <mergeCell ref="C22:C24"/>
    <mergeCell ref="D22:D24"/>
    <mergeCell ref="E22:E24"/>
    <mergeCell ref="Q16:Q18"/>
    <mergeCell ref="R16:R18"/>
    <mergeCell ref="S16:S18"/>
    <mergeCell ref="T16:T18"/>
    <mergeCell ref="U16:U18"/>
    <mergeCell ref="C19:C21"/>
    <mergeCell ref="D19:D21"/>
    <mergeCell ref="E19:E21"/>
    <mergeCell ref="F19:F21"/>
    <mergeCell ref="G19:G21"/>
    <mergeCell ref="Q13:Q15"/>
    <mergeCell ref="R13:R15"/>
    <mergeCell ref="S13:S15"/>
    <mergeCell ref="T13:T15"/>
    <mergeCell ref="U13:U15"/>
    <mergeCell ref="C16:C18"/>
    <mergeCell ref="D16:D18"/>
    <mergeCell ref="E16:E18"/>
    <mergeCell ref="F16:F18"/>
    <mergeCell ref="G16:G18"/>
    <mergeCell ref="Q10:Q12"/>
    <mergeCell ref="R10:R12"/>
    <mergeCell ref="S10:S12"/>
    <mergeCell ref="T10:T12"/>
    <mergeCell ref="U10:U12"/>
    <mergeCell ref="C13:C15"/>
    <mergeCell ref="D13:D15"/>
    <mergeCell ref="E13:E15"/>
    <mergeCell ref="F13:F15"/>
    <mergeCell ref="G13:G15"/>
    <mergeCell ref="Q7:Q9"/>
    <mergeCell ref="R7:R9"/>
    <mergeCell ref="S7:S9"/>
    <mergeCell ref="T7:T9"/>
    <mergeCell ref="U7:U9"/>
    <mergeCell ref="C10:C12"/>
    <mergeCell ref="D10:D12"/>
    <mergeCell ref="E10:E12"/>
    <mergeCell ref="F10:F12"/>
    <mergeCell ref="G10:G12"/>
    <mergeCell ref="A6:AA6"/>
    <mergeCell ref="A7:A21"/>
    <mergeCell ref="B7:B21"/>
    <mergeCell ref="C7:C9"/>
    <mergeCell ref="D7:D9"/>
    <mergeCell ref="E7:E9"/>
    <mergeCell ref="F7:F9"/>
    <mergeCell ref="G7:G9"/>
    <mergeCell ref="O7:O27"/>
    <mergeCell ref="P7:P27"/>
    <mergeCell ref="P4:P5"/>
    <mergeCell ref="Q4:Q5"/>
    <mergeCell ref="R4:T4"/>
    <mergeCell ref="U4:U5"/>
    <mergeCell ref="V4:V5"/>
    <mergeCell ref="W4:AA4"/>
    <mergeCell ref="A1:C1"/>
    <mergeCell ref="A2:W2"/>
    <mergeCell ref="A4:A5"/>
    <mergeCell ref="B4:B5"/>
    <mergeCell ref="C4:C5"/>
    <mergeCell ref="D4:F4"/>
    <mergeCell ref="G4:G5"/>
    <mergeCell ref="H4:H5"/>
    <mergeCell ref="I4:M4"/>
    <mergeCell ref="O4:O5"/>
  </mergeCells>
  <hyperlinks>
    <hyperlink ref="A1" location="Содержание прайса!A1" display="Вернуться в начало"/>
    <hyperlink ref="A1:C1" location="'Содержание прайса'!A1" display="Вернуться в начало"/>
  </hyperlinks>
  <printOptions horizontalCentered="1"/>
  <pageMargins left="0" right="0" top="0.47244094488188981" bottom="0" header="0" footer="0"/>
  <pageSetup paperSize="9" scale="41" orientation="landscape" horizontalDpi="300" verticalDpi="300" r:id="rId1"/>
  <headerFooter scaleWithDoc="0">
    <oddHeader xml:space="preserve">&amp;L&amp;G&amp;R&amp;5Центр поддержки клиентов Grand Line: +7 (495) 748-38-38
cайт: www.grandline.ru   </oddHeader>
    <oddFooter>&amp;R&amp;5Страница 50</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K75"/>
  <sheetViews>
    <sheetView zoomScale="70" zoomScaleNormal="70" workbookViewId="0">
      <selection sqref="A1:E1"/>
    </sheetView>
  </sheetViews>
  <sheetFormatPr defaultRowHeight="12.75"/>
  <cols>
    <col min="1" max="1" width="50.140625" style="52" customWidth="1"/>
    <col min="2" max="2" width="11.140625" style="52" customWidth="1"/>
    <col min="3" max="3" width="77.28515625" style="17" customWidth="1"/>
    <col min="4" max="4" width="7.85546875" style="17" customWidth="1"/>
    <col min="5" max="5" width="10.85546875" style="17" customWidth="1"/>
    <col min="6" max="6" width="2.140625" style="17" customWidth="1"/>
    <col min="7" max="7" width="49.85546875" style="17" customWidth="1"/>
    <col min="8" max="8" width="11.7109375" style="17" customWidth="1"/>
    <col min="9" max="9" width="77.42578125" style="17" customWidth="1"/>
    <col min="10" max="10" width="7.7109375" style="17" customWidth="1"/>
    <col min="11" max="11" width="10.85546875" style="17" customWidth="1"/>
    <col min="12" max="16384" width="9.140625" style="17"/>
  </cols>
  <sheetData>
    <row r="1" spans="1:11" s="52" customFormat="1">
      <c r="A1" s="2900" t="s">
        <v>312</v>
      </c>
      <c r="B1" s="2900"/>
      <c r="C1" s="2900"/>
      <c r="D1" s="2900"/>
      <c r="E1" s="2900"/>
      <c r="F1" s="17"/>
      <c r="G1" s="17"/>
      <c r="H1" s="17"/>
    </row>
    <row r="2" spans="1:11" s="52" customFormat="1" ht="16.5" customHeight="1" thickBot="1">
      <c r="A2" s="1851" t="s">
        <v>3361</v>
      </c>
      <c r="B2" s="1851"/>
      <c r="C2" s="1851"/>
      <c r="D2" s="1851"/>
      <c r="E2" s="1851"/>
      <c r="F2" s="1851"/>
      <c r="G2" s="1851"/>
      <c r="H2" s="1851"/>
      <c r="I2" s="760" t="s">
        <v>313</v>
      </c>
      <c r="J2" s="2021">
        <v>43304</v>
      </c>
      <c r="K2" s="2022"/>
    </row>
    <row r="3" spans="1:11" s="52" customFormat="1" ht="15" customHeight="1">
      <c r="A3" s="2940" t="s">
        <v>3362</v>
      </c>
      <c r="B3" s="2941"/>
      <c r="C3" s="2941"/>
      <c r="D3" s="2941"/>
      <c r="E3" s="2942"/>
    </row>
    <row r="4" spans="1:11" s="52" customFormat="1" ht="15" customHeight="1">
      <c r="A4" s="2940" t="s">
        <v>3363</v>
      </c>
      <c r="B4" s="2941"/>
      <c r="C4" s="2941"/>
      <c r="D4" s="2941"/>
      <c r="E4" s="2942"/>
      <c r="I4" s="308"/>
    </row>
    <row r="5" spans="1:11" s="52" customFormat="1" ht="15" customHeight="1">
      <c r="A5" s="2943" t="s">
        <v>3364</v>
      </c>
      <c r="B5" s="2944"/>
      <c r="C5" s="2945"/>
      <c r="D5" s="2945"/>
      <c r="E5" s="2946"/>
      <c r="I5" s="308" t="s">
        <v>804</v>
      </c>
      <c r="J5" s="2947">
        <v>43304</v>
      </c>
      <c r="K5" s="2947"/>
    </row>
    <row r="6" spans="1:11" s="52" customFormat="1" ht="30" customHeight="1">
      <c r="A6" s="626" t="s">
        <v>307</v>
      </c>
      <c r="B6" s="626" t="s">
        <v>3365</v>
      </c>
      <c r="C6" s="626" t="s">
        <v>2639</v>
      </c>
      <c r="D6" s="626" t="s">
        <v>3366</v>
      </c>
      <c r="E6" s="626" t="s">
        <v>624</v>
      </c>
      <c r="G6" s="626" t="s">
        <v>307</v>
      </c>
      <c r="H6" s="626" t="s">
        <v>3365</v>
      </c>
      <c r="I6" s="626" t="s">
        <v>2639</v>
      </c>
      <c r="J6" s="626" t="s">
        <v>3366</v>
      </c>
      <c r="K6" s="626" t="s">
        <v>624</v>
      </c>
    </row>
    <row r="7" spans="1:11" s="52" customFormat="1" ht="13.5" customHeight="1">
      <c r="A7" s="881" t="s">
        <v>3367</v>
      </c>
      <c r="B7" s="882"/>
      <c r="C7" s="882"/>
      <c r="D7" s="882"/>
      <c r="E7" s="883"/>
      <c r="G7" s="881" t="s">
        <v>207</v>
      </c>
      <c r="H7" s="882"/>
      <c r="I7" s="882"/>
      <c r="J7" s="882"/>
      <c r="K7" s="883"/>
    </row>
    <row r="8" spans="1:11" s="52" customFormat="1" ht="38.25">
      <c r="A8" s="632" t="s">
        <v>3368</v>
      </c>
      <c r="B8" s="633">
        <v>82347</v>
      </c>
      <c r="C8" s="634" t="s">
        <v>3369</v>
      </c>
      <c r="D8" s="103" t="s">
        <v>3370</v>
      </c>
      <c r="E8" s="235">
        <f>ROUND(1850*Belarus*(1-C59),2)</f>
        <v>1850</v>
      </c>
      <c r="G8" s="1223" t="s">
        <v>6922</v>
      </c>
      <c r="H8" s="633">
        <v>192487</v>
      </c>
      <c r="I8" s="636" t="s">
        <v>6923</v>
      </c>
      <c r="J8" s="103" t="s">
        <v>3372</v>
      </c>
      <c r="K8" s="235">
        <f>ROUND(7630*Belarus*(1-H59),2)</f>
        <v>7630</v>
      </c>
    </row>
    <row r="9" spans="1:11" s="52" customFormat="1" ht="25.5">
      <c r="A9" s="632" t="s">
        <v>3373</v>
      </c>
      <c r="B9" s="633">
        <v>138975</v>
      </c>
      <c r="C9" s="634" t="s">
        <v>3374</v>
      </c>
      <c r="D9" s="103" t="s">
        <v>3370</v>
      </c>
      <c r="E9" s="235">
        <f>ROUND(1450*Belarus*(1-C59),2)</f>
        <v>1450</v>
      </c>
      <c r="G9" s="1223" t="s">
        <v>6924</v>
      </c>
      <c r="H9" s="633">
        <v>192488</v>
      </c>
      <c r="I9" s="636" t="s">
        <v>3371</v>
      </c>
      <c r="J9" s="103" t="s">
        <v>3372</v>
      </c>
      <c r="K9" s="235">
        <f>ROUND(350*Belarus*(1-H59),2)</f>
        <v>350</v>
      </c>
    </row>
    <row r="10" spans="1:11" s="52" customFormat="1">
      <c r="A10" s="632" t="s">
        <v>3375</v>
      </c>
      <c r="B10" s="633">
        <v>76348</v>
      </c>
      <c r="C10" s="634" t="s">
        <v>3376</v>
      </c>
      <c r="D10" s="103" t="s">
        <v>3377</v>
      </c>
      <c r="E10" s="235">
        <f>ROUND(6750*Belarus*(1-J59),2)</f>
        <v>6750</v>
      </c>
      <c r="G10" s="279" t="s">
        <v>3378</v>
      </c>
      <c r="H10" s="635">
        <v>149146</v>
      </c>
      <c r="I10" s="1419" t="s">
        <v>3379</v>
      </c>
      <c r="J10" s="103" t="s">
        <v>3370</v>
      </c>
      <c r="K10" s="235">
        <f>E11</f>
        <v>660</v>
      </c>
    </row>
    <row r="11" spans="1:11" s="52" customFormat="1">
      <c r="A11" s="279" t="s">
        <v>3378</v>
      </c>
      <c r="B11" s="635">
        <v>149146</v>
      </c>
      <c r="C11" s="1410" t="s">
        <v>3380</v>
      </c>
      <c r="D11" s="103" t="s">
        <v>3370</v>
      </c>
      <c r="E11" s="235">
        <f>ROUND(660*Belarus*(1-C59),2)</f>
        <v>660</v>
      </c>
      <c r="G11" s="279" t="s">
        <v>3381</v>
      </c>
      <c r="H11" s="635">
        <v>149147</v>
      </c>
      <c r="I11" s="1425"/>
      <c r="J11" s="103" t="s">
        <v>3370</v>
      </c>
      <c r="K11" s="235">
        <f>E12</f>
        <v>660</v>
      </c>
    </row>
    <row r="12" spans="1:11" s="52" customFormat="1">
      <c r="A12" s="279" t="s">
        <v>3381</v>
      </c>
      <c r="B12" s="635">
        <v>149147</v>
      </c>
      <c r="C12" s="1410"/>
      <c r="D12" s="103" t="s">
        <v>3370</v>
      </c>
      <c r="E12" s="235">
        <f>ROUND(660*Belarus*(1-C59),2)</f>
        <v>660</v>
      </c>
      <c r="G12" s="632" t="s">
        <v>3382</v>
      </c>
      <c r="H12" s="633">
        <v>149127</v>
      </c>
      <c r="I12" s="636" t="s">
        <v>3383</v>
      </c>
      <c r="J12" s="103" t="s">
        <v>3370</v>
      </c>
      <c r="K12" s="235">
        <f>E13</f>
        <v>1650</v>
      </c>
    </row>
    <row r="13" spans="1:11" s="52" customFormat="1" ht="25.5">
      <c r="A13" s="632" t="s">
        <v>3382</v>
      </c>
      <c r="B13" s="633">
        <v>149127</v>
      </c>
      <c r="C13" s="636" t="s">
        <v>3383</v>
      </c>
      <c r="D13" s="103" t="s">
        <v>3370</v>
      </c>
      <c r="E13" s="235">
        <f>ROUND(1650*Belarus*(1-C59),2)</f>
        <v>1650</v>
      </c>
      <c r="G13" s="279" t="s">
        <v>3384</v>
      </c>
      <c r="H13" s="635">
        <v>154726</v>
      </c>
      <c r="I13" s="587" t="s">
        <v>3385</v>
      </c>
      <c r="J13" s="103" t="s">
        <v>3370</v>
      </c>
      <c r="K13" s="235">
        <f>ROUND(610*Belarus*(1-C59),2)</f>
        <v>610</v>
      </c>
    </row>
    <row r="14" spans="1:11" s="52" customFormat="1" ht="25.5">
      <c r="A14" s="279" t="s">
        <v>3386</v>
      </c>
      <c r="B14" s="635">
        <v>155358</v>
      </c>
      <c r="C14" s="634" t="s">
        <v>3387</v>
      </c>
      <c r="D14" s="103" t="s">
        <v>3377</v>
      </c>
      <c r="E14" s="235">
        <f>ROUND(8900*Belarus*(1-J59),2)</f>
        <v>8900</v>
      </c>
      <c r="G14" s="279" t="s">
        <v>3386</v>
      </c>
      <c r="H14" s="635">
        <v>155358</v>
      </c>
      <c r="I14" s="634" t="s">
        <v>3387</v>
      </c>
      <c r="J14" s="103" t="s">
        <v>3377</v>
      </c>
      <c r="K14" s="235">
        <f>E14</f>
        <v>8900</v>
      </c>
    </row>
    <row r="15" spans="1:11" s="52" customFormat="1" ht="25.5">
      <c r="A15" s="279" t="s">
        <v>3388</v>
      </c>
      <c r="B15" s="635">
        <v>107599</v>
      </c>
      <c r="C15" s="637" t="s">
        <v>3389</v>
      </c>
      <c r="D15" s="103" t="s">
        <v>3370</v>
      </c>
      <c r="E15" s="235">
        <f>ROUND(120*Belarus*(1-C59),2)</f>
        <v>120</v>
      </c>
      <c r="G15" s="279" t="s">
        <v>3390</v>
      </c>
      <c r="H15" s="635">
        <v>149107</v>
      </c>
      <c r="I15" s="587" t="s">
        <v>3391</v>
      </c>
      <c r="J15" s="103" t="s">
        <v>3370</v>
      </c>
      <c r="K15" s="235">
        <f>E16</f>
        <v>185</v>
      </c>
    </row>
    <row r="16" spans="1:11" s="52" customFormat="1" ht="25.5">
      <c r="A16" s="279" t="s">
        <v>3390</v>
      </c>
      <c r="B16" s="635">
        <v>149107</v>
      </c>
      <c r="C16" s="634" t="s">
        <v>3391</v>
      </c>
      <c r="D16" s="103" t="s">
        <v>3370</v>
      </c>
      <c r="E16" s="235">
        <f>ROUND(185*Belarus*(1-C59),2)</f>
        <v>185</v>
      </c>
      <c r="G16" s="211" t="s">
        <v>3392</v>
      </c>
      <c r="H16" s="635">
        <v>145207</v>
      </c>
      <c r="I16" s="638" t="s">
        <v>3393</v>
      </c>
      <c r="J16" s="103" t="s">
        <v>3370</v>
      </c>
      <c r="K16" s="235">
        <f>E17</f>
        <v>550</v>
      </c>
    </row>
    <row r="17" spans="1:11" s="52" customFormat="1" ht="29.25" customHeight="1">
      <c r="A17" s="211" t="s">
        <v>3392</v>
      </c>
      <c r="B17" s="635">
        <v>145207</v>
      </c>
      <c r="C17" s="639" t="s">
        <v>3394</v>
      </c>
      <c r="D17" s="103" t="s">
        <v>3370</v>
      </c>
      <c r="E17" s="235">
        <f>ROUND(550*Belarus*(1-C59),2)</f>
        <v>550</v>
      </c>
      <c r="G17" s="881" t="s">
        <v>521</v>
      </c>
      <c r="H17" s="999"/>
      <c r="I17" s="999"/>
      <c r="J17" s="999"/>
      <c r="K17" s="884"/>
    </row>
    <row r="18" spans="1:11" s="52" customFormat="1" ht="27.75" customHeight="1">
      <c r="A18" s="881" t="s">
        <v>3395</v>
      </c>
      <c r="B18" s="882"/>
      <c r="C18" s="882"/>
      <c r="D18" s="882"/>
      <c r="E18" s="883"/>
      <c r="G18" s="1223" t="s">
        <v>6922</v>
      </c>
      <c r="H18" s="633">
        <v>192487</v>
      </c>
      <c r="I18" s="636" t="s">
        <v>6923</v>
      </c>
      <c r="J18" s="103" t="s">
        <v>3372</v>
      </c>
      <c r="K18" s="235">
        <f>ROUND(7630*Belarus*(1-H69),2)</f>
        <v>7630</v>
      </c>
    </row>
    <row r="19" spans="1:11" s="52" customFormat="1" ht="27" customHeight="1">
      <c r="A19" s="632" t="s">
        <v>903</v>
      </c>
      <c r="B19" s="633">
        <v>149118</v>
      </c>
      <c r="C19" s="110" t="s">
        <v>3396</v>
      </c>
      <c r="D19" s="103" t="s">
        <v>3370</v>
      </c>
      <c r="E19" s="236">
        <f>ROUND(390*Belarus*(1-C59),2)</f>
        <v>390</v>
      </c>
      <c r="G19" s="1223" t="s">
        <v>6924</v>
      </c>
      <c r="H19" s="633">
        <v>192488</v>
      </c>
      <c r="I19" s="636" t="s">
        <v>3371</v>
      </c>
      <c r="J19" s="103" t="s">
        <v>3372</v>
      </c>
      <c r="K19" s="235">
        <f>ROUND(350*Belarus*(1-H59),2)</f>
        <v>350</v>
      </c>
    </row>
    <row r="20" spans="1:11" s="52" customFormat="1">
      <c r="A20" s="279" t="s">
        <v>3384</v>
      </c>
      <c r="B20" s="635">
        <v>154726</v>
      </c>
      <c r="C20" s="634" t="s">
        <v>3397</v>
      </c>
      <c r="D20" s="103" t="s">
        <v>3370</v>
      </c>
      <c r="E20" s="236">
        <f>ROUND(610*Belarus*(1-C59),2)</f>
        <v>610</v>
      </c>
      <c r="G20" s="279" t="s">
        <v>3378</v>
      </c>
      <c r="H20" s="635">
        <v>149146</v>
      </c>
      <c r="I20" s="1419" t="s">
        <v>3380</v>
      </c>
      <c r="J20" s="103" t="s">
        <v>3370</v>
      </c>
      <c r="K20" s="235">
        <f>E11</f>
        <v>660</v>
      </c>
    </row>
    <row r="21" spans="1:11" s="52" customFormat="1">
      <c r="A21" s="881" t="s">
        <v>186</v>
      </c>
      <c r="B21" s="882"/>
      <c r="C21" s="882"/>
      <c r="D21" s="882"/>
      <c r="E21" s="885"/>
      <c r="G21" s="279" t="s">
        <v>3381</v>
      </c>
      <c r="H21" s="635">
        <v>149147</v>
      </c>
      <c r="I21" s="1425"/>
      <c r="J21" s="103" t="s">
        <v>3370</v>
      </c>
      <c r="K21" s="235">
        <f>E12</f>
        <v>660</v>
      </c>
    </row>
    <row r="22" spans="1:11" s="52" customFormat="1" ht="25.5">
      <c r="A22" s="279" t="s">
        <v>792</v>
      </c>
      <c r="B22" s="640">
        <v>87027</v>
      </c>
      <c r="C22" s="639" t="s">
        <v>3398</v>
      </c>
      <c r="D22" s="103" t="s">
        <v>3399</v>
      </c>
      <c r="E22" s="785">
        <f>ROUND(7776*Belarus*(1-D59),2)</f>
        <v>7776</v>
      </c>
      <c r="G22" s="279" t="s">
        <v>3386</v>
      </c>
      <c r="H22" s="635">
        <v>155358</v>
      </c>
      <c r="I22" s="634" t="s">
        <v>3387</v>
      </c>
      <c r="J22" s="103" t="s">
        <v>3377</v>
      </c>
      <c r="K22" s="235">
        <f>E14</f>
        <v>8900</v>
      </c>
    </row>
    <row r="23" spans="1:11" s="52" customFormat="1" ht="25.5">
      <c r="A23" s="279" t="s">
        <v>3400</v>
      </c>
      <c r="B23" s="635">
        <v>149138</v>
      </c>
      <c r="C23" s="2948" t="s">
        <v>3401</v>
      </c>
      <c r="D23" s="103" t="s">
        <v>3399</v>
      </c>
      <c r="E23" s="785">
        <f>ROUND(1480*Belarus*(1-D59),2)</f>
        <v>1480</v>
      </c>
      <c r="G23" s="279" t="s">
        <v>3402</v>
      </c>
      <c r="H23" s="635">
        <v>156576</v>
      </c>
      <c r="I23" s="637" t="s">
        <v>3403</v>
      </c>
      <c r="J23" s="103" t="s">
        <v>3370</v>
      </c>
      <c r="K23" s="235">
        <f>E30</f>
        <v>240</v>
      </c>
    </row>
    <row r="24" spans="1:11" s="52" customFormat="1" ht="25.5">
      <c r="A24" s="279" t="s">
        <v>3404</v>
      </c>
      <c r="B24" s="635">
        <v>149139</v>
      </c>
      <c r="C24" s="2948"/>
      <c r="D24" s="103" t="s">
        <v>3399</v>
      </c>
      <c r="E24" s="785">
        <f>ROUND(1480*Belarus*(1-D59),2)</f>
        <v>1480</v>
      </c>
      <c r="G24" s="211" t="s">
        <v>3392</v>
      </c>
      <c r="H24" s="635">
        <v>145207</v>
      </c>
      <c r="I24" s="639" t="s">
        <v>3405</v>
      </c>
      <c r="J24" s="103" t="s">
        <v>3370</v>
      </c>
      <c r="K24" s="235">
        <f>E17</f>
        <v>550</v>
      </c>
    </row>
    <row r="25" spans="1:11" s="52" customFormat="1" ht="27.75" customHeight="1">
      <c r="A25" s="279" t="s">
        <v>3406</v>
      </c>
      <c r="B25" s="635">
        <v>149124</v>
      </c>
      <c r="C25" s="639" t="s">
        <v>3407</v>
      </c>
      <c r="D25" s="103" t="s">
        <v>3370</v>
      </c>
      <c r="E25" s="785">
        <f>ROUND(880*Belarus*(1-C59),2)</f>
        <v>880</v>
      </c>
      <c r="G25" s="881" t="s">
        <v>49</v>
      </c>
      <c r="H25" s="882"/>
      <c r="I25" s="882"/>
      <c r="J25" s="882"/>
      <c r="K25" s="885"/>
    </row>
    <row r="26" spans="1:11" s="52" customFormat="1" ht="25.5">
      <c r="A26" s="632" t="s">
        <v>3382</v>
      </c>
      <c r="B26" s="633">
        <v>149127</v>
      </c>
      <c r="C26" s="636" t="s">
        <v>3383</v>
      </c>
      <c r="D26" s="103" t="s">
        <v>3370</v>
      </c>
      <c r="E26" s="785">
        <f>E13</f>
        <v>1650</v>
      </c>
      <c r="G26" s="279" t="s">
        <v>3408</v>
      </c>
      <c r="H26" s="635">
        <v>66491</v>
      </c>
      <c r="I26" s="637" t="s">
        <v>3409</v>
      </c>
      <c r="J26" s="103" t="s">
        <v>3399</v>
      </c>
      <c r="K26" s="235">
        <f>ROUND(2600*Belarus*(1-D59),2)</f>
        <v>2600</v>
      </c>
    </row>
    <row r="27" spans="1:11" s="52" customFormat="1" ht="38.25">
      <c r="A27" s="632" t="s">
        <v>3410</v>
      </c>
      <c r="B27" s="633">
        <v>152413</v>
      </c>
      <c r="C27" s="639" t="s">
        <v>3411</v>
      </c>
      <c r="D27" s="103" t="s">
        <v>3399</v>
      </c>
      <c r="E27" s="785">
        <f>ROUND(150*Belarus*(1-D59),2)</f>
        <v>150</v>
      </c>
      <c r="G27" s="279" t="s">
        <v>427</v>
      </c>
      <c r="H27" s="635">
        <v>63406</v>
      </c>
      <c r="I27" s="634" t="s">
        <v>3412</v>
      </c>
      <c r="J27" s="103" t="s">
        <v>3399</v>
      </c>
      <c r="K27" s="235">
        <f>ROUND(5800*Belarus*(1-D59),2)</f>
        <v>5800</v>
      </c>
    </row>
    <row r="28" spans="1:11" s="52" customFormat="1" ht="27.75" customHeight="1">
      <c r="A28" s="279" t="s">
        <v>3390</v>
      </c>
      <c r="B28" s="635">
        <v>149107</v>
      </c>
      <c r="C28" s="634" t="s">
        <v>3391</v>
      </c>
      <c r="D28" s="103" t="s">
        <v>3370</v>
      </c>
      <c r="E28" s="235">
        <f>E16</f>
        <v>185</v>
      </c>
      <c r="F28" s="289"/>
      <c r="G28" s="279" t="s">
        <v>3378</v>
      </c>
      <c r="H28" s="635">
        <v>149146</v>
      </c>
      <c r="I28" s="1419" t="s">
        <v>3380</v>
      </c>
      <c r="J28" s="103" t="s">
        <v>3370</v>
      </c>
      <c r="K28" s="235">
        <f>E11</f>
        <v>660</v>
      </c>
    </row>
    <row r="29" spans="1:11" s="52" customFormat="1" ht="25.5">
      <c r="A29" s="279" t="s">
        <v>3386</v>
      </c>
      <c r="B29" s="635">
        <v>155358</v>
      </c>
      <c r="C29" s="634" t="s">
        <v>3387</v>
      </c>
      <c r="D29" s="103" t="s">
        <v>3377</v>
      </c>
      <c r="E29" s="235">
        <f>E14</f>
        <v>8900</v>
      </c>
      <c r="F29" s="289"/>
      <c r="G29" s="279" t="s">
        <v>3381</v>
      </c>
      <c r="H29" s="635">
        <v>149147</v>
      </c>
      <c r="I29" s="1425"/>
      <c r="J29" s="103" t="s">
        <v>3370</v>
      </c>
      <c r="K29" s="235">
        <f>E12</f>
        <v>660</v>
      </c>
    </row>
    <row r="30" spans="1:11" s="52" customFormat="1" ht="25.5">
      <c r="A30" s="279" t="s">
        <v>3402</v>
      </c>
      <c r="B30" s="641">
        <v>156576</v>
      </c>
      <c r="C30" s="637" t="s">
        <v>3403</v>
      </c>
      <c r="D30" s="103" t="s">
        <v>3370</v>
      </c>
      <c r="E30" s="235">
        <f>ROUND(240*Belarus*(1-C59),2)</f>
        <v>240</v>
      </c>
      <c r="F30" s="289"/>
      <c r="G30" s="279" t="s">
        <v>3386</v>
      </c>
      <c r="H30" s="635">
        <v>155358</v>
      </c>
      <c r="I30" s="634" t="s">
        <v>3387</v>
      </c>
      <c r="J30" s="103" t="s">
        <v>3377</v>
      </c>
      <c r="K30" s="235">
        <f>E14</f>
        <v>8900</v>
      </c>
    </row>
    <row r="31" spans="1:11" s="52" customFormat="1" ht="25.5">
      <c r="A31" s="279" t="s">
        <v>3388</v>
      </c>
      <c r="B31" s="635">
        <v>107599</v>
      </c>
      <c r="C31" s="637" t="s">
        <v>3413</v>
      </c>
      <c r="D31" s="103" t="s">
        <v>3370</v>
      </c>
      <c r="E31" s="235">
        <f>E15</f>
        <v>120</v>
      </c>
      <c r="G31" s="279" t="s">
        <v>3402</v>
      </c>
      <c r="H31" s="635">
        <v>156576</v>
      </c>
      <c r="I31" s="637" t="s">
        <v>3403</v>
      </c>
      <c r="J31" s="103" t="s">
        <v>3370</v>
      </c>
      <c r="K31" s="235">
        <f>E30</f>
        <v>240</v>
      </c>
    </row>
    <row r="32" spans="1:11" s="52" customFormat="1" ht="27.75" customHeight="1">
      <c r="A32" s="211" t="s">
        <v>3392</v>
      </c>
      <c r="B32" s="635">
        <v>145207</v>
      </c>
      <c r="C32" s="639" t="s">
        <v>3414</v>
      </c>
      <c r="D32" s="103" t="s">
        <v>3370</v>
      </c>
      <c r="E32" s="235">
        <f>E17</f>
        <v>550</v>
      </c>
      <c r="G32" s="211" t="s">
        <v>3392</v>
      </c>
      <c r="H32" s="635">
        <v>145207</v>
      </c>
      <c r="I32" s="639" t="s">
        <v>3405</v>
      </c>
      <c r="J32" s="103" t="s">
        <v>3370</v>
      </c>
      <c r="K32" s="235">
        <f>E17</f>
        <v>550</v>
      </c>
    </row>
    <row r="33" spans="1:11" s="52" customFormat="1" ht="15" customHeight="1">
      <c r="A33" s="881" t="s">
        <v>104</v>
      </c>
      <c r="B33" s="882"/>
      <c r="C33" s="882"/>
      <c r="D33" s="882"/>
      <c r="E33" s="885"/>
      <c r="G33" s="886" t="s">
        <v>3415</v>
      </c>
      <c r="H33" s="887"/>
      <c r="I33" s="887"/>
      <c r="J33" s="887"/>
      <c r="K33" s="888"/>
    </row>
    <row r="34" spans="1:11" s="52" customFormat="1" ht="38.25">
      <c r="A34" s="279" t="s">
        <v>777</v>
      </c>
      <c r="B34" s="642">
        <v>69907</v>
      </c>
      <c r="C34" s="637" t="s">
        <v>3416</v>
      </c>
      <c r="D34" s="103" t="s">
        <v>3372</v>
      </c>
      <c r="E34" s="889">
        <f>ROUND(15200*Belarus*(1-H59),2)</f>
        <v>15200</v>
      </c>
      <c r="G34" s="632" t="s">
        <v>2898</v>
      </c>
      <c r="H34" s="633">
        <v>99616</v>
      </c>
      <c r="I34" s="634" t="s">
        <v>3417</v>
      </c>
      <c r="J34" s="103" t="s">
        <v>3372</v>
      </c>
      <c r="K34" s="235">
        <f>ROUND(13990*Belarus*(1-H59),2)</f>
        <v>13990</v>
      </c>
    </row>
    <row r="35" spans="1:11" s="52" customFormat="1">
      <c r="A35" s="279" t="s">
        <v>778</v>
      </c>
      <c r="B35" s="642">
        <v>69906</v>
      </c>
      <c r="C35" s="643" t="s">
        <v>3418</v>
      </c>
      <c r="D35" s="103" t="s">
        <v>3372</v>
      </c>
      <c r="E35" s="890">
        <f>ROUND(17500*Belarus*(1-H59),2)</f>
        <v>17500</v>
      </c>
      <c r="G35" s="279" t="s">
        <v>3378</v>
      </c>
      <c r="H35" s="635">
        <v>149146</v>
      </c>
      <c r="I35" s="1419" t="s">
        <v>3419</v>
      </c>
      <c r="J35" s="103" t="s">
        <v>3370</v>
      </c>
      <c r="K35" s="235">
        <f>E11</f>
        <v>660</v>
      </c>
    </row>
    <row r="36" spans="1:11" s="52" customFormat="1" ht="25.5">
      <c r="A36" s="279" t="s">
        <v>792</v>
      </c>
      <c r="B36" s="640">
        <v>87027</v>
      </c>
      <c r="C36" s="639" t="s">
        <v>3420</v>
      </c>
      <c r="D36" s="103" t="s">
        <v>3399</v>
      </c>
      <c r="E36" s="785">
        <f>ROUND(7776*Belarus*(1-D59),2)</f>
        <v>7776</v>
      </c>
      <c r="G36" s="279" t="s">
        <v>3381</v>
      </c>
      <c r="H36" s="635">
        <v>149147</v>
      </c>
      <c r="I36" s="1425"/>
      <c r="J36" s="103" t="s">
        <v>3370</v>
      </c>
      <c r="K36" s="235">
        <f>E12</f>
        <v>660</v>
      </c>
    </row>
    <row r="37" spans="1:11" s="52" customFormat="1" ht="25.5">
      <c r="A37" s="632" t="s">
        <v>3421</v>
      </c>
      <c r="B37" s="633">
        <v>149132</v>
      </c>
      <c r="C37" s="2949" t="s">
        <v>3422</v>
      </c>
      <c r="D37" s="103" t="s">
        <v>3372</v>
      </c>
      <c r="E37" s="236">
        <f>ROUND(1430*Belarus*(1-H59),2)</f>
        <v>1430</v>
      </c>
      <c r="G37" s="279" t="s">
        <v>3386</v>
      </c>
      <c r="H37" s="635">
        <v>155358</v>
      </c>
      <c r="I37" s="634" t="s">
        <v>3387</v>
      </c>
      <c r="J37" s="103" t="s">
        <v>3377</v>
      </c>
      <c r="K37" s="235">
        <f>E14</f>
        <v>8900</v>
      </c>
    </row>
    <row r="38" spans="1:11" s="52" customFormat="1" ht="25.5">
      <c r="A38" s="632" t="s">
        <v>3423</v>
      </c>
      <c r="B38" s="633">
        <v>156579</v>
      </c>
      <c r="C38" s="2949"/>
      <c r="D38" s="103" t="s">
        <v>3372</v>
      </c>
      <c r="E38" s="236">
        <f>ROUND(1430*Belarus*(1-H59),2)</f>
        <v>1430</v>
      </c>
      <c r="G38" s="279" t="s">
        <v>3402</v>
      </c>
      <c r="H38" s="635">
        <v>156576</v>
      </c>
      <c r="I38" s="644" t="s">
        <v>3403</v>
      </c>
      <c r="J38" s="103" t="s">
        <v>3370</v>
      </c>
      <c r="K38" s="235">
        <f>E30</f>
        <v>240</v>
      </c>
    </row>
    <row r="39" spans="1:11" s="52" customFormat="1" ht="25.5">
      <c r="A39" s="399" t="s">
        <v>3424</v>
      </c>
      <c r="B39" s="640">
        <v>83177</v>
      </c>
      <c r="C39" s="2949"/>
      <c r="D39" s="103" t="s">
        <v>3372</v>
      </c>
      <c r="E39" s="236">
        <f>ROUND(3250*Belarus*(1-H59),2)</f>
        <v>3250</v>
      </c>
      <c r="G39" s="211" t="s">
        <v>3392</v>
      </c>
      <c r="H39" s="635">
        <v>145207</v>
      </c>
      <c r="I39" s="638" t="s">
        <v>3425</v>
      </c>
      <c r="J39" s="103" t="s">
        <v>3370</v>
      </c>
      <c r="K39" s="235">
        <f>E17</f>
        <v>550</v>
      </c>
    </row>
    <row r="40" spans="1:11" s="52" customFormat="1">
      <c r="A40" s="399" t="s">
        <v>3426</v>
      </c>
      <c r="B40" s="640">
        <v>83178</v>
      </c>
      <c r="C40" s="2949"/>
      <c r="D40" s="103" t="s">
        <v>3372</v>
      </c>
      <c r="E40" s="236">
        <f>ROUND(3250*Belarus*(1-H59),2)</f>
        <v>3250</v>
      </c>
      <c r="G40" s="891" t="s">
        <v>2795</v>
      </c>
      <c r="H40" s="892"/>
      <c r="I40" s="892"/>
      <c r="J40" s="892"/>
      <c r="K40" s="893"/>
    </row>
    <row r="41" spans="1:11" s="52" customFormat="1">
      <c r="A41" s="399" t="s">
        <v>3427</v>
      </c>
      <c r="B41" s="640">
        <v>83185</v>
      </c>
      <c r="C41" s="639" t="s">
        <v>3428</v>
      </c>
      <c r="D41" s="103" t="s">
        <v>3372</v>
      </c>
      <c r="E41" s="785">
        <f>ROUND(1980*Belarus*(1-D59),2)</f>
        <v>1980</v>
      </c>
      <c r="G41" s="51" t="s">
        <v>3429</v>
      </c>
      <c r="H41" s="646">
        <v>67539</v>
      </c>
      <c r="I41" s="636" t="s">
        <v>3430</v>
      </c>
      <c r="J41" s="103" t="s">
        <v>3370</v>
      </c>
      <c r="K41" s="235">
        <f>ROUND(1450*Belarus*(1-C59),2)</f>
        <v>1450</v>
      </c>
    </row>
    <row r="42" spans="1:11" s="52" customFormat="1">
      <c r="A42" s="632" t="s">
        <v>3382</v>
      </c>
      <c r="B42" s="633">
        <v>149127</v>
      </c>
      <c r="C42" s="636" t="s">
        <v>3383</v>
      </c>
      <c r="D42" s="103" t="s">
        <v>3370</v>
      </c>
      <c r="E42" s="235">
        <f>E13</f>
        <v>1650</v>
      </c>
      <c r="G42" s="279" t="s">
        <v>3431</v>
      </c>
      <c r="H42" s="635">
        <v>119956</v>
      </c>
      <c r="I42" s="1787" t="s">
        <v>3432</v>
      </c>
      <c r="J42" s="103" t="s">
        <v>3372</v>
      </c>
      <c r="K42" s="235">
        <f>ROUND(1300*Belarus*(1-H59),2)</f>
        <v>1300</v>
      </c>
    </row>
    <row r="43" spans="1:11" s="52" customFormat="1" ht="25.5">
      <c r="A43" s="372" t="s">
        <v>3433</v>
      </c>
      <c r="B43" s="641">
        <v>80944</v>
      </c>
      <c r="C43" s="636" t="s">
        <v>3434</v>
      </c>
      <c r="D43" s="103" t="s">
        <v>3372</v>
      </c>
      <c r="E43" s="236">
        <f>ROUND(11350*Belarus*(1-H59),2)</f>
        <v>11350</v>
      </c>
      <c r="G43" s="51" t="s">
        <v>3435</v>
      </c>
      <c r="H43" s="646">
        <v>80938</v>
      </c>
      <c r="I43" s="1790"/>
      <c r="J43" s="103" t="s">
        <v>3372</v>
      </c>
      <c r="K43" s="235">
        <f>ROUND(3500*Belarus*(1-H59),2)</f>
        <v>3500</v>
      </c>
    </row>
    <row r="44" spans="1:11" s="52" customFormat="1" ht="25.5">
      <c r="A44" s="632" t="s">
        <v>3410</v>
      </c>
      <c r="B44" s="633">
        <v>152413</v>
      </c>
      <c r="C44" s="639" t="s">
        <v>3411</v>
      </c>
      <c r="D44" s="103" t="s">
        <v>3399</v>
      </c>
      <c r="E44" s="785">
        <f>E27</f>
        <v>150</v>
      </c>
      <c r="G44" s="279" t="s">
        <v>3386</v>
      </c>
      <c r="H44" s="635">
        <v>155358</v>
      </c>
      <c r="I44" s="634" t="s">
        <v>3387</v>
      </c>
      <c r="J44" s="103" t="s">
        <v>3377</v>
      </c>
      <c r="K44" s="235">
        <f>E14</f>
        <v>8900</v>
      </c>
    </row>
    <row r="45" spans="1:11" s="52" customFormat="1" ht="25.5">
      <c r="A45" s="279" t="s">
        <v>3390</v>
      </c>
      <c r="B45" s="635">
        <v>149107</v>
      </c>
      <c r="C45" s="634" t="s">
        <v>3391</v>
      </c>
      <c r="D45" s="103" t="s">
        <v>3370</v>
      </c>
      <c r="E45" s="235">
        <f>E16</f>
        <v>185</v>
      </c>
      <c r="G45" s="279" t="s">
        <v>3402</v>
      </c>
      <c r="H45" s="635">
        <v>156576</v>
      </c>
      <c r="I45" s="644" t="s">
        <v>3403</v>
      </c>
      <c r="J45" s="103" t="s">
        <v>3370</v>
      </c>
      <c r="K45" s="235">
        <f>E30</f>
        <v>240</v>
      </c>
    </row>
    <row r="46" spans="1:11" s="52" customFormat="1" ht="26.25" customHeight="1">
      <c r="A46" s="279" t="s">
        <v>3386</v>
      </c>
      <c r="B46" s="635">
        <v>155358</v>
      </c>
      <c r="C46" s="634" t="s">
        <v>3387</v>
      </c>
      <c r="D46" s="103" t="s">
        <v>3377</v>
      </c>
      <c r="E46" s="235">
        <f>E14</f>
        <v>8900</v>
      </c>
      <c r="G46" s="211" t="s">
        <v>3392</v>
      </c>
      <c r="H46" s="635">
        <v>145207</v>
      </c>
      <c r="I46" s="638" t="s">
        <v>3436</v>
      </c>
      <c r="J46" s="103" t="s">
        <v>3370</v>
      </c>
      <c r="K46" s="235">
        <f>E17</f>
        <v>550</v>
      </c>
    </row>
    <row r="47" spans="1:11" s="52" customFormat="1" ht="25.5">
      <c r="A47" s="279" t="s">
        <v>3402</v>
      </c>
      <c r="B47" s="635">
        <v>156576</v>
      </c>
      <c r="C47" s="637" t="s">
        <v>3403</v>
      </c>
      <c r="D47" s="103" t="s">
        <v>3370</v>
      </c>
      <c r="E47" s="235">
        <f>E30</f>
        <v>240</v>
      </c>
      <c r="G47" s="894" t="s">
        <v>3437</v>
      </c>
      <c r="H47" s="895"/>
      <c r="I47" s="895"/>
      <c r="J47" s="895"/>
      <c r="K47" s="896"/>
    </row>
    <row r="48" spans="1:11" s="52" customFormat="1" ht="25.5">
      <c r="A48" s="211" t="s">
        <v>3392</v>
      </c>
      <c r="B48" s="635">
        <v>145207</v>
      </c>
      <c r="C48" s="639" t="s">
        <v>3414</v>
      </c>
      <c r="D48" s="103" t="s">
        <v>3370</v>
      </c>
      <c r="E48" s="235">
        <f>E17</f>
        <v>550</v>
      </c>
      <c r="G48" s="632" t="s">
        <v>3438</v>
      </c>
      <c r="H48" s="633">
        <v>149112</v>
      </c>
      <c r="I48" s="647" t="s">
        <v>3439</v>
      </c>
      <c r="J48" s="103" t="s">
        <v>3370</v>
      </c>
      <c r="K48" s="235">
        <f>ROUND(680*Belarus*(1-C59),2)</f>
        <v>680</v>
      </c>
    </row>
    <row r="49" spans="1:11" s="52" customFormat="1" ht="12.75" customHeight="1">
      <c r="A49" s="886" t="s">
        <v>3440</v>
      </c>
      <c r="B49" s="887"/>
      <c r="C49" s="887"/>
      <c r="D49" s="887"/>
      <c r="E49" s="888"/>
      <c r="G49" s="632" t="s">
        <v>3441</v>
      </c>
      <c r="H49" s="633">
        <v>63411</v>
      </c>
      <c r="I49" s="648" t="s">
        <v>3442</v>
      </c>
      <c r="J49" s="103" t="s">
        <v>3370</v>
      </c>
      <c r="K49" s="235">
        <f>ROUND(65*Belarus*(1-C59),2)</f>
        <v>65</v>
      </c>
    </row>
    <row r="50" spans="1:11" s="52" customFormat="1" ht="39.75" customHeight="1">
      <c r="A50" s="664" t="s">
        <v>6577</v>
      </c>
      <c r="B50" s="633">
        <v>132572</v>
      </c>
      <c r="C50" s="292" t="s">
        <v>3443</v>
      </c>
      <c r="D50" s="103" t="s">
        <v>3372</v>
      </c>
      <c r="E50" s="235">
        <f>ROUND(5980*Belarus*(1-H59),2)</f>
        <v>5980</v>
      </c>
      <c r="F50" s="289"/>
      <c r="G50" s="1351"/>
      <c r="H50" s="1351"/>
      <c r="I50" s="1351"/>
      <c r="J50" s="1351"/>
      <c r="K50" s="1351"/>
    </row>
    <row r="51" spans="1:11" s="52" customFormat="1" ht="22.5" customHeight="1">
      <c r="A51" s="399" t="s">
        <v>1524</v>
      </c>
      <c r="B51" s="640">
        <v>60179</v>
      </c>
      <c r="C51" s="2950" t="s">
        <v>3444</v>
      </c>
      <c r="D51" s="103" t="s">
        <v>3399</v>
      </c>
      <c r="E51" s="235">
        <f>ROUND(4020*Belarus*(1-D59),2)</f>
        <v>4020</v>
      </c>
      <c r="G51" s="1280" t="s">
        <v>3445</v>
      </c>
      <c r="H51" s="1280"/>
      <c r="I51" s="1280"/>
      <c r="J51" s="1280"/>
      <c r="K51" s="1280"/>
    </row>
    <row r="52" spans="1:11" s="52" customFormat="1" ht="22.5" customHeight="1">
      <c r="A52" s="399" t="s">
        <v>3446</v>
      </c>
      <c r="B52" s="640">
        <v>80939</v>
      </c>
      <c r="C52" s="2950"/>
      <c r="D52" s="103" t="s">
        <v>3399</v>
      </c>
      <c r="E52" s="235">
        <f>ROUND(2700*Belarus*(1-D59),2)</f>
        <v>2700</v>
      </c>
      <c r="G52" s="1977" t="s">
        <v>2106</v>
      </c>
      <c r="H52" s="1977"/>
      <c r="I52" s="1977"/>
      <c r="J52" s="1977"/>
      <c r="K52" s="1977"/>
    </row>
    <row r="53" spans="1:11" s="52" customFormat="1" ht="25.5">
      <c r="A53" s="279" t="s">
        <v>3386</v>
      </c>
      <c r="B53" s="635">
        <v>155358</v>
      </c>
      <c r="C53" s="634" t="s">
        <v>3387</v>
      </c>
      <c r="D53" s="103" t="s">
        <v>3377</v>
      </c>
      <c r="E53" s="235">
        <f>E14</f>
        <v>8900</v>
      </c>
      <c r="G53" s="1332" t="s">
        <v>3447</v>
      </c>
      <c r="H53" s="1332"/>
      <c r="I53" s="1332"/>
      <c r="J53" s="1332"/>
      <c r="K53" s="1332"/>
    </row>
    <row r="54" spans="1:11" s="52" customFormat="1" ht="25.5">
      <c r="A54" s="279" t="s">
        <v>3390</v>
      </c>
      <c r="B54" s="635">
        <v>149107</v>
      </c>
      <c r="C54" s="292" t="s">
        <v>3448</v>
      </c>
      <c r="D54" s="103" t="s">
        <v>3370</v>
      </c>
      <c r="E54" s="235">
        <f>E16</f>
        <v>185</v>
      </c>
      <c r="G54" s="1332"/>
      <c r="H54" s="1332"/>
      <c r="I54" s="1332"/>
      <c r="J54" s="1332"/>
      <c r="K54" s="1332"/>
    </row>
    <row r="55" spans="1:11" s="52" customFormat="1" ht="25.5">
      <c r="A55" s="211" t="s">
        <v>3392</v>
      </c>
      <c r="B55" s="635">
        <v>145207</v>
      </c>
      <c r="C55" s="649" t="s">
        <v>3449</v>
      </c>
      <c r="D55" s="103" t="s">
        <v>3370</v>
      </c>
      <c r="E55" s="235">
        <f>E17</f>
        <v>550</v>
      </c>
      <c r="G55" s="1332"/>
      <c r="H55" s="1332"/>
      <c r="I55" s="1332"/>
      <c r="J55" s="1332"/>
      <c r="K55" s="1332"/>
    </row>
    <row r="56" spans="1:11" s="55" customFormat="1">
      <c r="C56" s="139"/>
      <c r="D56" s="139"/>
      <c r="E56" s="139"/>
      <c r="F56" s="139"/>
      <c r="G56" s="469"/>
      <c r="H56" s="469"/>
      <c r="I56" s="650"/>
      <c r="J56" s="650"/>
      <c r="K56" s="128"/>
    </row>
    <row r="57" spans="1:11" s="652" customFormat="1">
      <c r="A57" s="651"/>
      <c r="B57" s="651"/>
      <c r="C57" s="125"/>
      <c r="D57" s="125"/>
      <c r="E57" s="128"/>
      <c r="K57" s="55"/>
    </row>
    <row r="58" spans="1:11" ht="35.25" customHeight="1">
      <c r="A58" s="2495" t="s">
        <v>1835</v>
      </c>
      <c r="B58" s="2496"/>
      <c r="C58" s="141" t="s">
        <v>3450</v>
      </c>
      <c r="D58" s="1339" t="s">
        <v>3451</v>
      </c>
      <c r="E58" s="1339"/>
      <c r="F58" s="1339"/>
      <c r="G58" s="1339"/>
      <c r="H58" s="1339" t="s">
        <v>3452</v>
      </c>
      <c r="I58" s="1339"/>
      <c r="J58" s="1339" t="s">
        <v>3453</v>
      </c>
      <c r="K58" s="1339"/>
    </row>
    <row r="59" spans="1:11">
      <c r="A59" s="2951"/>
      <c r="B59" s="2952"/>
      <c r="C59" s="2195">
        <v>0</v>
      </c>
      <c r="D59" s="2195">
        <v>0</v>
      </c>
      <c r="E59" s="2195"/>
      <c r="F59" s="2195"/>
      <c r="G59" s="2195"/>
      <c r="H59" s="2195">
        <v>0</v>
      </c>
      <c r="I59" s="2195"/>
      <c r="J59" s="2195">
        <v>0</v>
      </c>
      <c r="K59" s="2195"/>
    </row>
    <row r="60" spans="1:11" ht="12.75" customHeight="1">
      <c r="A60" s="2521"/>
      <c r="B60" s="2953"/>
      <c r="C60" s="2195"/>
      <c r="D60" s="2195"/>
      <c r="E60" s="2195"/>
      <c r="F60" s="2195"/>
      <c r="G60" s="2195"/>
      <c r="H60" s="2195"/>
      <c r="I60" s="2195"/>
      <c r="J60" s="2195"/>
      <c r="K60" s="2195"/>
    </row>
    <row r="61" spans="1:11">
      <c r="A61" s="17"/>
      <c r="B61" s="17"/>
      <c r="G61" s="52"/>
      <c r="H61" s="52"/>
    </row>
    <row r="62" spans="1:11">
      <c r="A62" s="17"/>
      <c r="B62" s="17"/>
      <c r="G62" s="52"/>
      <c r="H62" s="52"/>
      <c r="I62" s="52"/>
      <c r="J62" s="52"/>
      <c r="K62" s="52"/>
    </row>
    <row r="63" spans="1:11">
      <c r="A63" s="17"/>
      <c r="B63" s="17"/>
      <c r="G63" s="52"/>
      <c r="H63" s="52"/>
      <c r="I63" s="52"/>
      <c r="J63" s="52"/>
      <c r="K63" s="52"/>
    </row>
    <row r="64" spans="1:11">
      <c r="A64" s="17"/>
      <c r="B64" s="17"/>
    </row>
    <row r="65" spans="1:11">
      <c r="A65" s="17"/>
      <c r="B65" s="17"/>
    </row>
    <row r="66" spans="1:11">
      <c r="A66" s="17"/>
      <c r="B66" s="17"/>
    </row>
    <row r="67" spans="1:11">
      <c r="A67" s="17"/>
      <c r="B67" s="17"/>
    </row>
    <row r="70" spans="1:11">
      <c r="C70" s="52"/>
      <c r="D70" s="52"/>
      <c r="E70" s="52"/>
      <c r="G70" s="52"/>
      <c r="H70" s="52"/>
      <c r="I70" s="52"/>
      <c r="J70" s="52"/>
      <c r="K70" s="52"/>
    </row>
    <row r="71" spans="1:11">
      <c r="C71" s="52"/>
      <c r="D71" s="52"/>
      <c r="E71" s="52"/>
      <c r="G71" s="52"/>
      <c r="H71" s="52"/>
      <c r="I71" s="52"/>
      <c r="J71" s="52"/>
      <c r="K71" s="52"/>
    </row>
    <row r="72" spans="1:11">
      <c r="C72" s="52"/>
      <c r="D72" s="52"/>
      <c r="E72" s="52"/>
      <c r="G72" s="52"/>
      <c r="H72" s="52"/>
      <c r="I72" s="52"/>
      <c r="J72" s="52"/>
      <c r="K72" s="52"/>
    </row>
    <row r="73" spans="1:11">
      <c r="G73" s="52"/>
      <c r="H73" s="52"/>
    </row>
    <row r="74" spans="1:11">
      <c r="G74" s="52"/>
      <c r="H74" s="52"/>
    </row>
    <row r="75" spans="1:11">
      <c r="G75" s="52"/>
      <c r="H75" s="52"/>
    </row>
  </sheetData>
  <sheetProtection selectLockedCells="1" selectUnlockedCells="1"/>
  <mergeCells count="28">
    <mergeCell ref="G53:K55"/>
    <mergeCell ref="A58:B60"/>
    <mergeCell ref="D58:G58"/>
    <mergeCell ref="H58:I58"/>
    <mergeCell ref="J58:K58"/>
    <mergeCell ref="C59:C60"/>
    <mergeCell ref="D59:G60"/>
    <mergeCell ref="H59:I60"/>
    <mergeCell ref="J59:K60"/>
    <mergeCell ref="C37:C40"/>
    <mergeCell ref="I42:I43"/>
    <mergeCell ref="G50:K50"/>
    <mergeCell ref="C51:C52"/>
    <mergeCell ref="G51:K51"/>
    <mergeCell ref="G52:K52"/>
    <mergeCell ref="I10:I11"/>
    <mergeCell ref="C11:C12"/>
    <mergeCell ref="I20:I21"/>
    <mergeCell ref="C23:C24"/>
    <mergeCell ref="I28:I29"/>
    <mergeCell ref="I35:I36"/>
    <mergeCell ref="A1:E1"/>
    <mergeCell ref="A2:H2"/>
    <mergeCell ref="J2:K2"/>
    <mergeCell ref="A3:E3"/>
    <mergeCell ref="A4:E4"/>
    <mergeCell ref="A5:E5"/>
    <mergeCell ref="J5:K5"/>
  </mergeCells>
  <hyperlinks>
    <hyperlink ref="A8" r:id="rId1" display="Насадка-ножницы Стальной Бобер® для резки металла"/>
    <hyperlink ref="A1" location="Содержание прайса!A1" display="Вернуться в начало"/>
    <hyperlink ref="A1:E1" location="'Содержание прайса'!A1" display="Вернуться в начало"/>
    <hyperlink ref="G34" r:id="rId2"/>
    <hyperlink ref="A5:E5" r:id="rId3" display="http://www.grandline.ru/uploads/files/prajsi/prais_na_instrument.pdf"/>
  </hyperlinks>
  <printOptions horizontalCentered="1"/>
  <pageMargins left="0" right="0" top="0.47244094488188981" bottom="0" header="0" footer="0"/>
  <pageSetup paperSize="9" scale="44" firstPageNumber="0" orientation="landscape" horizontalDpi="300" verticalDpi="300" r:id="rId4"/>
  <headerFooter scaleWithDoc="0">
    <oddHeader xml:space="preserve">&amp;L&amp;G&amp;R&amp;5Центр поддержки клиентов Grand Line: +7 (495) 748-38-38
cайт: www.grandline.ru   </oddHeader>
    <oddFooter>&amp;R&amp;5Страница 51</oddFooter>
  </headerFooter>
  <legacyDrawingHF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F54"/>
  <sheetViews>
    <sheetView zoomScale="70" zoomScaleNormal="70" workbookViewId="0">
      <selection activeCell="A3" sqref="A3:F3"/>
    </sheetView>
  </sheetViews>
  <sheetFormatPr defaultColWidth="44.5703125" defaultRowHeight="12.75"/>
  <cols>
    <col min="1" max="1" width="47.7109375" style="546" customWidth="1"/>
    <col min="2" max="2" width="9.42578125" style="546" customWidth="1"/>
    <col min="3" max="3" width="13.42578125" style="546" customWidth="1"/>
    <col min="4" max="4" width="61.85546875" style="546" customWidth="1"/>
    <col min="5" max="5" width="11.28515625" style="546" customWidth="1"/>
    <col min="6" max="6" width="18.85546875" style="546" customWidth="1"/>
    <col min="7" max="16384" width="44.5703125" style="546"/>
  </cols>
  <sheetData>
    <row r="1" spans="1:6">
      <c r="A1" s="1666" t="s">
        <v>312</v>
      </c>
      <c r="B1" s="1666"/>
      <c r="C1" s="1666"/>
      <c r="D1" s="1666"/>
      <c r="E1" s="150"/>
      <c r="F1" s="30"/>
    </row>
    <row r="2" spans="1:6">
      <c r="E2" s="658" t="s">
        <v>313</v>
      </c>
      <c r="F2" s="766">
        <v>43255</v>
      </c>
    </row>
    <row r="3" spans="1:6" ht="18.75" thickBot="1">
      <c r="A3" s="1273" t="s">
        <v>3454</v>
      </c>
      <c r="B3" s="1273"/>
      <c r="C3" s="1273"/>
      <c r="D3" s="1273"/>
      <c r="E3" s="1273"/>
      <c r="F3" s="1273"/>
    </row>
    <row r="4" spans="1:6">
      <c r="A4" s="653"/>
      <c r="B4" s="654"/>
      <c r="C4" s="653"/>
      <c r="D4" s="308" t="s">
        <v>804</v>
      </c>
      <c r="E4" s="2954">
        <v>43255</v>
      </c>
      <c r="F4" s="2954"/>
    </row>
    <row r="5" spans="1:6" ht="15" customHeight="1">
      <c r="A5" s="2955" t="s">
        <v>3455</v>
      </c>
      <c r="B5" s="2955"/>
      <c r="C5" s="2955"/>
      <c r="D5" s="2955"/>
      <c r="E5" s="655" t="s">
        <v>3366</v>
      </c>
      <c r="F5" s="645" t="s">
        <v>624</v>
      </c>
    </row>
    <row r="6" spans="1:6" ht="30.75" customHeight="1">
      <c r="A6" s="656" t="s">
        <v>3456</v>
      </c>
      <c r="B6" s="2956" t="s">
        <v>3457</v>
      </c>
      <c r="C6" s="2956"/>
      <c r="D6" s="2956"/>
      <c r="E6" s="560" t="s">
        <v>3372</v>
      </c>
      <c r="F6" s="1105">
        <f>ROUND(3490*Belarus*(1-D54),2)</f>
        <v>3490</v>
      </c>
    </row>
    <row r="7" spans="1:6" ht="29.25" customHeight="1">
      <c r="A7" s="656" t="s">
        <v>3458</v>
      </c>
      <c r="B7" s="2956" t="s">
        <v>3459</v>
      </c>
      <c r="C7" s="2956"/>
      <c r="D7" s="2956"/>
      <c r="E7" s="560" t="s">
        <v>3372</v>
      </c>
      <c r="F7" s="87">
        <f>ROUND(2490*Belarus*(1-D54),2)</f>
        <v>2490</v>
      </c>
    </row>
    <row r="8" spans="1:6" ht="15" customHeight="1">
      <c r="A8" s="656" t="s">
        <v>3460</v>
      </c>
      <c r="B8" s="1981" t="s">
        <v>3461</v>
      </c>
      <c r="C8" s="1981"/>
      <c r="D8" s="1981"/>
      <c r="E8" s="379" t="s">
        <v>3372</v>
      </c>
      <c r="F8" s="87">
        <f>ROUND(1790*Belarus*(1-D54),2)</f>
        <v>1790</v>
      </c>
    </row>
    <row r="9" spans="1:6" ht="27.75" customHeight="1">
      <c r="A9" s="656" t="s">
        <v>3462</v>
      </c>
      <c r="B9" s="2956" t="s">
        <v>3463</v>
      </c>
      <c r="C9" s="2956"/>
      <c r="D9" s="2956"/>
      <c r="E9" s="560" t="s">
        <v>3370</v>
      </c>
      <c r="F9" s="87">
        <f>ROUND(850*Belarus*(1-B54),2)</f>
        <v>850</v>
      </c>
    </row>
    <row r="10" spans="1:6" s="653" customFormat="1">
      <c r="A10" s="1977" t="s">
        <v>3464</v>
      </c>
      <c r="B10" s="1977"/>
      <c r="C10" s="1977"/>
      <c r="D10" s="1977"/>
      <c r="E10" s="1977"/>
      <c r="F10" s="1977"/>
    </row>
    <row r="11" spans="1:6">
      <c r="A11" s="1977" t="s">
        <v>2106</v>
      </c>
      <c r="B11" s="1977"/>
      <c r="C11" s="1977"/>
      <c r="D11" s="1977"/>
      <c r="E11" s="1977"/>
      <c r="F11" s="1977"/>
    </row>
    <row r="12" spans="1:6" ht="12.75" customHeight="1">
      <c r="A12" s="1332" t="s">
        <v>3465</v>
      </c>
      <c r="B12" s="1332"/>
      <c r="C12" s="1332"/>
      <c r="D12" s="1332"/>
      <c r="E12" s="1332"/>
      <c r="F12" s="1332"/>
    </row>
    <row r="13" spans="1:6">
      <c r="B13" s="657"/>
      <c r="D13" s="658"/>
      <c r="E13" s="658"/>
      <c r="F13" s="584"/>
    </row>
    <row r="14" spans="1:6" ht="18.75" thickBot="1">
      <c r="A14" s="1273" t="s">
        <v>3466</v>
      </c>
      <c r="B14" s="1273"/>
      <c r="C14" s="1273"/>
      <c r="D14" s="1273"/>
      <c r="E14" s="1273"/>
      <c r="F14" s="1273"/>
    </row>
    <row r="15" spans="1:6" ht="15" customHeight="1">
      <c r="B15" s="657"/>
      <c r="D15" s="658" t="s">
        <v>1385</v>
      </c>
      <c r="E15" s="2954">
        <v>42744</v>
      </c>
      <c r="F15" s="2954"/>
    </row>
    <row r="16" spans="1:6" ht="15" customHeight="1">
      <c r="A16" s="2882" t="s">
        <v>307</v>
      </c>
      <c r="B16" s="2882"/>
      <c r="C16" s="626" t="s">
        <v>3467</v>
      </c>
      <c r="D16" s="626" t="s">
        <v>3322</v>
      </c>
      <c r="E16" s="655" t="s">
        <v>3366</v>
      </c>
      <c r="F16" s="645" t="s">
        <v>624</v>
      </c>
    </row>
    <row r="17" spans="1:6">
      <c r="A17" s="2957" t="s">
        <v>3468</v>
      </c>
      <c r="B17" s="2957"/>
      <c r="C17" s="2957"/>
      <c r="D17" s="2957"/>
      <c r="E17" s="2957"/>
      <c r="F17" s="2957"/>
    </row>
    <row r="18" spans="1:6" ht="12.75" customHeight="1">
      <c r="A18" s="2882" t="s">
        <v>3469</v>
      </c>
      <c r="B18" s="2882"/>
      <c r="C18" s="2882"/>
      <c r="D18" s="2882"/>
      <c r="E18" s="2882"/>
      <c r="F18" s="2958" t="s">
        <v>3470</v>
      </c>
    </row>
    <row r="19" spans="1:6">
      <c r="A19" s="2959" t="s">
        <v>3471</v>
      </c>
      <c r="B19" s="2959"/>
      <c r="C19" s="301" t="s">
        <v>3472</v>
      </c>
      <c r="D19" s="281" t="s">
        <v>3473</v>
      </c>
      <c r="E19" s="485" t="s">
        <v>3474</v>
      </c>
      <c r="F19" s="2958"/>
    </row>
    <row r="20" spans="1:6">
      <c r="A20" s="2960" t="s">
        <v>3475</v>
      </c>
      <c r="B20" s="2960"/>
      <c r="C20" s="44" t="s">
        <v>3476</v>
      </c>
      <c r="D20" s="279" t="s">
        <v>3477</v>
      </c>
      <c r="E20" s="485" t="s">
        <v>3474</v>
      </c>
      <c r="F20" s="2958"/>
    </row>
    <row r="21" spans="1:6">
      <c r="A21" s="2960" t="s">
        <v>3478</v>
      </c>
      <c r="B21" s="2960"/>
      <c r="C21" s="44" t="s">
        <v>3479</v>
      </c>
      <c r="D21" s="279" t="s">
        <v>3480</v>
      </c>
      <c r="E21" s="485" t="s">
        <v>3474</v>
      </c>
      <c r="F21" s="2958"/>
    </row>
    <row r="22" spans="1:6">
      <c r="A22" s="2882" t="s">
        <v>3481</v>
      </c>
      <c r="B22" s="2882"/>
      <c r="C22" s="2882"/>
      <c r="D22" s="2882"/>
      <c r="E22" s="2882"/>
      <c r="F22" s="2958"/>
    </row>
    <row r="23" spans="1:6">
      <c r="A23" s="2960" t="s">
        <v>3482</v>
      </c>
      <c r="B23" s="2960"/>
      <c r="C23" s="101" t="s">
        <v>3483</v>
      </c>
      <c r="D23" s="279" t="s">
        <v>3484</v>
      </c>
      <c r="E23" s="485" t="s">
        <v>3474</v>
      </c>
      <c r="F23" s="2958"/>
    </row>
    <row r="24" spans="1:6">
      <c r="A24" s="2960" t="s">
        <v>3485</v>
      </c>
      <c r="B24" s="2960"/>
      <c r="C24" s="101" t="s">
        <v>3472</v>
      </c>
      <c r="D24" s="279" t="s">
        <v>3484</v>
      </c>
      <c r="E24" s="485" t="s">
        <v>3474</v>
      </c>
      <c r="F24" s="2958"/>
    </row>
    <row r="25" spans="1:6">
      <c r="A25" s="2960" t="s">
        <v>3486</v>
      </c>
      <c r="B25" s="2960"/>
      <c r="C25" s="101" t="s">
        <v>3483</v>
      </c>
      <c r="D25" s="279" t="s">
        <v>3487</v>
      </c>
      <c r="E25" s="485" t="s">
        <v>3474</v>
      </c>
      <c r="F25" s="2958"/>
    </row>
    <row r="26" spans="1:6">
      <c r="A26" s="2960" t="s">
        <v>3488</v>
      </c>
      <c r="B26" s="2960"/>
      <c r="C26" s="101" t="s">
        <v>3472</v>
      </c>
      <c r="D26" s="279" t="s">
        <v>3487</v>
      </c>
      <c r="E26" s="485" t="s">
        <v>3474</v>
      </c>
      <c r="F26" s="2958"/>
    </row>
    <row r="27" spans="1:6">
      <c r="A27" s="2882" t="s">
        <v>3489</v>
      </c>
      <c r="B27" s="2882"/>
      <c r="C27" s="2882"/>
      <c r="D27" s="2882"/>
      <c r="E27" s="2882"/>
      <c r="F27" s="2958"/>
    </row>
    <row r="28" spans="1:6">
      <c r="A28" s="2961" t="s">
        <v>3490</v>
      </c>
      <c r="B28" s="2960"/>
      <c r="C28" s="659" t="s">
        <v>3491</v>
      </c>
      <c r="D28" s="279" t="s">
        <v>3492</v>
      </c>
      <c r="E28" s="485" t="s">
        <v>3474</v>
      </c>
      <c r="F28" s="2958"/>
    </row>
    <row r="29" spans="1:6">
      <c r="A29" s="2961" t="s">
        <v>3493</v>
      </c>
      <c r="B29" s="2960"/>
      <c r="C29" s="659" t="s">
        <v>3494</v>
      </c>
      <c r="D29" s="279" t="s">
        <v>3495</v>
      </c>
      <c r="E29" s="485" t="s">
        <v>3474</v>
      </c>
      <c r="F29" s="2958"/>
    </row>
    <row r="30" spans="1:6">
      <c r="A30" s="2961" t="s">
        <v>3496</v>
      </c>
      <c r="B30" s="2960"/>
      <c r="C30" s="659" t="s">
        <v>3497</v>
      </c>
      <c r="D30" s="279" t="s">
        <v>3495</v>
      </c>
      <c r="E30" s="485" t="s">
        <v>3474</v>
      </c>
      <c r="F30" s="2958"/>
    </row>
    <row r="31" spans="1:6">
      <c r="A31" s="2882" t="s">
        <v>3498</v>
      </c>
      <c r="B31" s="2882"/>
      <c r="C31" s="2882"/>
      <c r="D31" s="2882"/>
      <c r="E31" s="2882"/>
      <c r="F31" s="2958"/>
    </row>
    <row r="32" spans="1:6" ht="25.5">
      <c r="A32" s="1351" t="s">
        <v>3499</v>
      </c>
      <c r="B32" s="1351"/>
      <c r="C32" s="660" t="s">
        <v>3500</v>
      </c>
      <c r="D32" s="279" t="s">
        <v>3501</v>
      </c>
      <c r="E32" s="485" t="s">
        <v>3474</v>
      </c>
      <c r="F32" s="2958"/>
    </row>
    <row r="33" spans="1:6">
      <c r="A33" s="1296" t="s">
        <v>3502</v>
      </c>
      <c r="B33" s="1296"/>
      <c r="C33" s="659" t="s">
        <v>3503</v>
      </c>
      <c r="D33" s="279" t="s">
        <v>3504</v>
      </c>
      <c r="E33" s="485" t="s">
        <v>3474</v>
      </c>
      <c r="F33" s="285">
        <f>ROUND(79500*Belarus*(1-E54),2)</f>
        <v>79500</v>
      </c>
    </row>
    <row r="34" spans="1:6">
      <c r="A34" s="1296" t="s">
        <v>3505</v>
      </c>
      <c r="B34" s="1296"/>
      <c r="C34" s="659" t="s">
        <v>3506</v>
      </c>
      <c r="D34" s="279" t="s">
        <v>3504</v>
      </c>
      <c r="E34" s="485" t="s">
        <v>3474</v>
      </c>
      <c r="F34" s="285">
        <f>ROUND(86000*Belarus*(1-E54),2)</f>
        <v>86000</v>
      </c>
    </row>
    <row r="35" spans="1:6">
      <c r="A35" s="1296" t="s">
        <v>3507</v>
      </c>
      <c r="B35" s="1296"/>
      <c r="C35" s="659" t="s">
        <v>3508</v>
      </c>
      <c r="D35" s="279" t="s">
        <v>3504</v>
      </c>
      <c r="E35" s="485" t="s">
        <v>3474</v>
      </c>
      <c r="F35" s="285">
        <f>ROUND(99900*Belarus*(1-E54),2)</f>
        <v>99900</v>
      </c>
    </row>
    <row r="36" spans="1:6">
      <c r="A36" s="1673" t="s">
        <v>3509</v>
      </c>
      <c r="B36" s="1673"/>
      <c r="C36" s="1673"/>
      <c r="D36" s="1673"/>
      <c r="E36" s="1673"/>
      <c r="F36" s="1673"/>
    </row>
    <row r="37" spans="1:6" s="661" customFormat="1">
      <c r="A37" s="2882" t="s">
        <v>307</v>
      </c>
      <c r="B37" s="2882"/>
      <c r="C37" s="2882"/>
      <c r="D37" s="626" t="s">
        <v>2639</v>
      </c>
      <c r="E37" s="655" t="s">
        <v>3366</v>
      </c>
      <c r="F37" s="645" t="s">
        <v>624</v>
      </c>
    </row>
    <row r="38" spans="1:6" s="661" customFormat="1">
      <c r="A38" s="1280" t="s">
        <v>3510</v>
      </c>
      <c r="B38" s="1280"/>
      <c r="C38" s="1280"/>
      <c r="D38" s="399" t="s">
        <v>3511</v>
      </c>
      <c r="E38" s="485" t="s">
        <v>3474</v>
      </c>
      <c r="F38" s="285">
        <f>ROUND(104000*Belarus*(1-E54),2)</f>
        <v>104000</v>
      </c>
    </row>
    <row r="39" spans="1:6" s="661" customFormat="1">
      <c r="A39" s="1280" t="s">
        <v>3512</v>
      </c>
      <c r="B39" s="1280"/>
      <c r="C39" s="1280"/>
      <c r="D39" s="399" t="s">
        <v>3513</v>
      </c>
      <c r="E39" s="485" t="s">
        <v>3474</v>
      </c>
      <c r="F39" s="285">
        <f>ROUND(55000*Belarus*(1-E54),2)</f>
        <v>55000</v>
      </c>
    </row>
    <row r="41" spans="1:6" s="661" customFormat="1">
      <c r="A41" s="1794" t="s">
        <v>420</v>
      </c>
      <c r="B41" s="1794"/>
      <c r="C41" s="1794"/>
      <c r="D41" s="1794"/>
      <c r="E41" s="1794"/>
      <c r="F41" s="1794"/>
    </row>
    <row r="42" spans="1:6" s="661" customFormat="1">
      <c r="A42" s="1981" t="s">
        <v>3514</v>
      </c>
      <c r="B42" s="1981"/>
      <c r="C42" s="1981"/>
      <c r="D42" s="1981"/>
      <c r="E42" s="1981"/>
      <c r="F42" s="1981"/>
    </row>
    <row r="43" spans="1:6" s="661" customFormat="1">
      <c r="A43" s="1981" t="s">
        <v>3515</v>
      </c>
      <c r="B43" s="1981"/>
      <c r="C43" s="1981"/>
      <c r="D43" s="1981"/>
      <c r="E43" s="1981"/>
      <c r="F43" s="1981"/>
    </row>
    <row r="44" spans="1:6" s="661" customFormat="1">
      <c r="A44" s="1981" t="s">
        <v>1127</v>
      </c>
      <c r="B44" s="1981"/>
      <c r="C44" s="1981"/>
      <c r="D44" s="1981"/>
      <c r="E44" s="1981"/>
      <c r="F44" s="1981"/>
    </row>
    <row r="45" spans="1:6" s="661" customFormat="1"/>
    <row r="52" spans="1:6" ht="15" customHeight="1">
      <c r="A52" s="2519" t="s">
        <v>1835</v>
      </c>
      <c r="B52" s="2519" t="s">
        <v>3450</v>
      </c>
      <c r="C52" s="2519" t="s">
        <v>3451</v>
      </c>
      <c r="D52" s="2519" t="s">
        <v>3452</v>
      </c>
      <c r="E52" s="2962" t="s">
        <v>3516</v>
      </c>
      <c r="F52" s="2963"/>
    </row>
    <row r="53" spans="1:6">
      <c r="A53" s="2519"/>
      <c r="B53" s="2519"/>
      <c r="C53" s="2519"/>
      <c r="D53" s="2519"/>
      <c r="E53" s="2964"/>
      <c r="F53" s="2965"/>
    </row>
    <row r="54" spans="1:6" ht="15" customHeight="1">
      <c r="A54" s="2519"/>
      <c r="B54" s="398">
        <v>0</v>
      </c>
      <c r="C54" s="398">
        <v>0</v>
      </c>
      <c r="D54" s="398">
        <v>0</v>
      </c>
      <c r="E54" s="2966">
        <v>0</v>
      </c>
      <c r="F54" s="2967"/>
    </row>
  </sheetData>
  <mergeCells count="48">
    <mergeCell ref="A43:F43"/>
    <mergeCell ref="A44:F44"/>
    <mergeCell ref="A52:A54"/>
    <mergeCell ref="B52:B53"/>
    <mergeCell ref="C52:C53"/>
    <mergeCell ref="D52:D53"/>
    <mergeCell ref="E52:F53"/>
    <mergeCell ref="E54:F54"/>
    <mergeCell ref="A36:F36"/>
    <mergeCell ref="A37:C37"/>
    <mergeCell ref="A38:C38"/>
    <mergeCell ref="A39:C39"/>
    <mergeCell ref="A41:F41"/>
    <mergeCell ref="A42:F42"/>
    <mergeCell ref="A30:B30"/>
    <mergeCell ref="A31:E31"/>
    <mergeCell ref="A32:B32"/>
    <mergeCell ref="A33:B33"/>
    <mergeCell ref="A34:B34"/>
    <mergeCell ref="A35:B35"/>
    <mergeCell ref="A24:B24"/>
    <mergeCell ref="A25:B25"/>
    <mergeCell ref="A26:B26"/>
    <mergeCell ref="A27:E27"/>
    <mergeCell ref="A28:B28"/>
    <mergeCell ref="A29:B29"/>
    <mergeCell ref="E15:F15"/>
    <mergeCell ref="A16:B16"/>
    <mergeCell ref="A17:F17"/>
    <mergeCell ref="A18:E18"/>
    <mergeCell ref="F18:F32"/>
    <mergeCell ref="A19:B19"/>
    <mergeCell ref="A20:B20"/>
    <mergeCell ref="A21:B21"/>
    <mergeCell ref="A22:E22"/>
    <mergeCell ref="A23:B23"/>
    <mergeCell ref="B8:D8"/>
    <mergeCell ref="B9:D9"/>
    <mergeCell ref="A10:F10"/>
    <mergeCell ref="A11:F11"/>
    <mergeCell ref="A12:F12"/>
    <mergeCell ref="A14:F14"/>
    <mergeCell ref="A1:D1"/>
    <mergeCell ref="A3:F3"/>
    <mergeCell ref="E4:F4"/>
    <mergeCell ref="A5:D5"/>
    <mergeCell ref="B6:D6"/>
    <mergeCell ref="B7:D7"/>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87" orientation="landscape" horizontalDpi="300" verticalDpi="300" r:id="rId1"/>
  <headerFooter scaleWithDoc="0">
    <oddHeader xml:space="preserve">&amp;L&amp;G&amp;R&amp;5Центр поддержки клиентов Grand Line: +7 (495) 748-38-38
cайт: www.grandline.ru   </oddHeader>
    <oddFooter>&amp;R&amp;5Страница 52</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366"/>
    <pageSetUpPr fitToPage="1"/>
  </sheetPr>
  <dimension ref="A1:Q51"/>
  <sheetViews>
    <sheetView zoomScale="70" zoomScaleNormal="70" workbookViewId="0">
      <selection sqref="A1:D1"/>
    </sheetView>
  </sheetViews>
  <sheetFormatPr defaultRowHeight="12.75"/>
  <cols>
    <col min="1" max="1" width="22.85546875" style="46" customWidth="1"/>
    <col min="2" max="2" width="17.85546875" style="46" customWidth="1"/>
    <col min="3" max="3" width="26" style="46" customWidth="1"/>
    <col min="4" max="4" width="15.5703125" style="46" customWidth="1"/>
    <col min="5" max="5" width="12.5703125" style="46" customWidth="1"/>
    <col min="6" max="6" width="9.5703125" style="46" customWidth="1"/>
    <col min="7" max="8" width="10.85546875" style="46" customWidth="1"/>
    <col min="9" max="9" width="2.42578125" style="46" customWidth="1"/>
    <col min="10" max="10" width="18.85546875" style="46" customWidth="1"/>
    <col min="11" max="12" width="18" style="46" customWidth="1"/>
    <col min="13" max="13" width="23.7109375" style="46" customWidth="1"/>
    <col min="14" max="14" width="17.140625" style="46" customWidth="1"/>
    <col min="15" max="15" width="17.42578125" style="46" customWidth="1"/>
    <col min="16" max="17" width="9.5703125" style="46" customWidth="1"/>
    <col min="18" max="16384" width="9.140625" style="46"/>
  </cols>
  <sheetData>
    <row r="1" spans="1:17">
      <c r="A1" s="1666" t="s">
        <v>312</v>
      </c>
      <c r="B1" s="1666"/>
      <c r="C1" s="1666"/>
      <c r="D1" s="1666"/>
      <c r="J1" s="2992"/>
      <c r="K1" s="2992"/>
      <c r="L1" s="2992"/>
      <c r="M1" s="2992"/>
    </row>
    <row r="2" spans="1:17" ht="18.75" customHeight="1" thickBot="1">
      <c r="A2" s="1273" t="s">
        <v>6353</v>
      </c>
      <c r="B2" s="1273"/>
      <c r="C2" s="1273"/>
      <c r="D2" s="1273"/>
      <c r="E2" s="1273"/>
      <c r="F2" s="1273"/>
      <c r="G2" s="1273"/>
      <c r="H2" s="1273"/>
      <c r="I2" s="1273"/>
      <c r="J2" s="1273"/>
      <c r="K2" s="1273"/>
      <c r="L2" s="1273"/>
      <c r="M2" s="1273"/>
      <c r="N2" s="746"/>
      <c r="O2" s="735" t="s">
        <v>313</v>
      </c>
      <c r="P2" s="1483">
        <v>43297</v>
      </c>
      <c r="Q2" s="1678"/>
    </row>
    <row r="3" spans="1:17">
      <c r="O3" s="2" t="s">
        <v>315</v>
      </c>
      <c r="P3" s="1679">
        <v>43297</v>
      </c>
      <c r="Q3" s="1679"/>
    </row>
    <row r="4" spans="1:17" ht="12.75" customHeight="1">
      <c r="A4" s="1388" t="s">
        <v>307</v>
      </c>
      <c r="B4" s="1388" t="s">
        <v>284</v>
      </c>
      <c r="C4" s="1388" t="s">
        <v>1071</v>
      </c>
      <c r="D4" s="1388" t="s">
        <v>1995</v>
      </c>
      <c r="E4" s="1388" t="s">
        <v>1027</v>
      </c>
      <c r="F4" s="1388" t="s">
        <v>286</v>
      </c>
      <c r="G4" s="1388" t="s">
        <v>1494</v>
      </c>
      <c r="H4" s="1388" t="s">
        <v>319</v>
      </c>
      <c r="J4" s="1388" t="s">
        <v>307</v>
      </c>
      <c r="K4" s="1388" t="s">
        <v>6354</v>
      </c>
      <c r="L4" s="1388" t="s">
        <v>284</v>
      </c>
      <c r="M4" s="1388" t="s">
        <v>1071</v>
      </c>
      <c r="N4" s="1388" t="s">
        <v>1995</v>
      </c>
      <c r="O4" s="1388" t="s">
        <v>1027</v>
      </c>
      <c r="P4" s="1388" t="s">
        <v>1494</v>
      </c>
      <c r="Q4" s="1388" t="s">
        <v>319</v>
      </c>
    </row>
    <row r="5" spans="1:17" ht="16.5" customHeight="1">
      <c r="A5" s="1388"/>
      <c r="B5" s="1388"/>
      <c r="C5" s="1388"/>
      <c r="D5" s="1388"/>
      <c r="E5" s="1388"/>
      <c r="F5" s="1388"/>
      <c r="G5" s="1388"/>
      <c r="H5" s="1388"/>
      <c r="J5" s="1388"/>
      <c r="K5" s="1388"/>
      <c r="L5" s="1388"/>
      <c r="M5" s="1388"/>
      <c r="N5" s="1388"/>
      <c r="O5" s="1388"/>
      <c r="P5" s="1388"/>
      <c r="Q5" s="1388"/>
    </row>
    <row r="6" spans="1:17" ht="16.5" customHeight="1">
      <c r="A6" s="1479" t="s">
        <v>6355</v>
      </c>
      <c r="B6" s="1517"/>
      <c r="C6" s="1517"/>
      <c r="D6" s="1517"/>
      <c r="E6" s="1517"/>
      <c r="F6" s="1517"/>
      <c r="G6" s="1517"/>
      <c r="H6" s="1480"/>
      <c r="J6" s="1479" t="s">
        <v>6356</v>
      </c>
      <c r="K6" s="1517"/>
      <c r="L6" s="1517"/>
      <c r="M6" s="1517"/>
      <c r="N6" s="1517"/>
      <c r="O6" s="1517"/>
      <c r="P6" s="1517"/>
      <c r="Q6" s="1480"/>
    </row>
    <row r="7" spans="1:17" ht="30" customHeight="1">
      <c r="A7" s="2703" t="s">
        <v>6357</v>
      </c>
      <c r="B7" s="1716" t="s">
        <v>6358</v>
      </c>
      <c r="C7" s="1539"/>
      <c r="D7" s="44" t="s">
        <v>6359</v>
      </c>
      <c r="E7" s="44" t="s">
        <v>6360</v>
      </c>
      <c r="F7" s="1761">
        <f>H7/7.14</f>
        <v>287.11484593837537</v>
      </c>
      <c r="G7" s="577">
        <f>F7*3</f>
        <v>861.34453781512616</v>
      </c>
      <c r="H7" s="1761">
        <f>ROUND(2050*Belarus*(1-C51),2)</f>
        <v>2050</v>
      </c>
      <c r="J7" s="2035" t="s">
        <v>6361</v>
      </c>
      <c r="K7" s="1900" t="s">
        <v>6362</v>
      </c>
      <c r="L7" s="1900" t="s">
        <v>6358</v>
      </c>
      <c r="M7" s="1900"/>
      <c r="N7" s="1900" t="s">
        <v>6363</v>
      </c>
      <c r="O7" s="1716" t="s">
        <v>6364</v>
      </c>
      <c r="P7" s="1999">
        <f>ROUND(260*Belarus*(1-C51),2)</f>
        <v>260</v>
      </c>
      <c r="Q7" s="2806">
        <f>P7*4</f>
        <v>1040</v>
      </c>
    </row>
    <row r="8" spans="1:17" ht="27" customHeight="1">
      <c r="A8" s="2703"/>
      <c r="B8" s="1716"/>
      <c r="C8" s="1539"/>
      <c r="D8" s="44" t="s">
        <v>6365</v>
      </c>
      <c r="E8" s="44" t="s">
        <v>6366</v>
      </c>
      <c r="F8" s="1761"/>
      <c r="G8" s="577">
        <f>F7*4</f>
        <v>1148.4593837535015</v>
      </c>
      <c r="H8" s="1761"/>
      <c r="J8" s="2801"/>
      <c r="K8" s="2036"/>
      <c r="L8" s="1997"/>
      <c r="M8" s="1997"/>
      <c r="N8" s="1997"/>
      <c r="O8" s="1716"/>
      <c r="P8" s="2000"/>
      <c r="Q8" s="2991"/>
    </row>
    <row r="9" spans="1:17" ht="30" customHeight="1">
      <c r="A9" s="2703"/>
      <c r="B9" s="1716"/>
      <c r="C9" s="1539"/>
      <c r="D9" s="44" t="s">
        <v>6367</v>
      </c>
      <c r="E9" s="44" t="s">
        <v>6368</v>
      </c>
      <c r="F9" s="1761"/>
      <c r="G9" s="577">
        <f>F7*6</f>
        <v>1722.6890756302523</v>
      </c>
      <c r="H9" s="1761"/>
      <c r="J9" s="350" t="s">
        <v>6369</v>
      </c>
      <c r="K9" s="44" t="s">
        <v>6370</v>
      </c>
      <c r="L9" s="44" t="s">
        <v>6371</v>
      </c>
      <c r="M9" s="1997"/>
      <c r="N9" s="300" t="s">
        <v>6372</v>
      </c>
      <c r="O9" s="1716"/>
      <c r="P9" s="236">
        <f>ROUND(130*Belarus*(1-C51),2)</f>
        <v>130</v>
      </c>
      <c r="Q9" s="769">
        <f>P9*3</f>
        <v>390</v>
      </c>
    </row>
    <row r="10" spans="1:17" ht="27.75" customHeight="1">
      <c r="A10" s="2703" t="s">
        <v>6373</v>
      </c>
      <c r="B10" s="1716"/>
      <c r="C10" s="1539"/>
      <c r="D10" s="44" t="s">
        <v>6359</v>
      </c>
      <c r="E10" s="44" t="s">
        <v>6360</v>
      </c>
      <c r="F10" s="1761">
        <f>H10/7.14</f>
        <v>291.31652661064425</v>
      </c>
      <c r="G10" s="577">
        <f>F10*3</f>
        <v>873.94957983193274</v>
      </c>
      <c r="H10" s="1761">
        <f>ROUND(2080*Belarus*(1-C51),2)</f>
        <v>2080</v>
      </c>
      <c r="J10" s="2703" t="s">
        <v>6374</v>
      </c>
      <c r="K10" s="1900" t="s">
        <v>6362</v>
      </c>
      <c r="L10" s="1716" t="s">
        <v>6375</v>
      </c>
      <c r="M10" s="1716"/>
      <c r="N10" s="1716" t="s">
        <v>6376</v>
      </c>
      <c r="O10" s="1716" t="s">
        <v>6377</v>
      </c>
      <c r="P10" s="1761">
        <f>ROUND(390*Belarus*(1-C51),2)</f>
        <v>390</v>
      </c>
      <c r="Q10" s="1760">
        <f>P10*3.8</f>
        <v>1482</v>
      </c>
    </row>
    <row r="11" spans="1:17" ht="27.75" customHeight="1">
      <c r="A11" s="2703"/>
      <c r="B11" s="1716"/>
      <c r="C11" s="1539"/>
      <c r="D11" s="44" t="s">
        <v>6365</v>
      </c>
      <c r="E11" s="44" t="s">
        <v>6366</v>
      </c>
      <c r="F11" s="1761"/>
      <c r="G11" s="577">
        <f>F10*4</f>
        <v>1165.266106442577</v>
      </c>
      <c r="H11" s="1761"/>
      <c r="J11" s="2703"/>
      <c r="K11" s="1901"/>
      <c r="L11" s="1716"/>
      <c r="M11" s="1716"/>
      <c r="N11" s="1716"/>
      <c r="O11" s="1716"/>
      <c r="P11" s="1761"/>
      <c r="Q11" s="1760"/>
    </row>
    <row r="12" spans="1:17" ht="26.25" customHeight="1">
      <c r="A12" s="2703"/>
      <c r="B12" s="1716"/>
      <c r="C12" s="1539"/>
      <c r="D12" s="44" t="s">
        <v>6367</v>
      </c>
      <c r="E12" s="44" t="s">
        <v>6368</v>
      </c>
      <c r="F12" s="1761"/>
      <c r="G12" s="577">
        <f>F10*6</f>
        <v>1747.8991596638655</v>
      </c>
      <c r="H12" s="1761"/>
      <c r="J12" s="2035" t="s">
        <v>6378</v>
      </c>
      <c r="K12" s="1900" t="s">
        <v>6379</v>
      </c>
      <c r="L12" s="1900" t="s">
        <v>6380</v>
      </c>
      <c r="M12" s="1900"/>
      <c r="N12" s="1716" t="s">
        <v>6381</v>
      </c>
      <c r="O12" s="1716" t="s">
        <v>6382</v>
      </c>
      <c r="P12" s="1530">
        <f>ROUND(130*Belarus*(1-C51),2)</f>
        <v>130</v>
      </c>
      <c r="Q12" s="1752">
        <f>P12*4</f>
        <v>520</v>
      </c>
    </row>
    <row r="13" spans="1:17" ht="42.75" customHeight="1">
      <c r="A13" s="350" t="s">
        <v>6383</v>
      </c>
      <c r="B13" s="1716"/>
      <c r="C13" s="44"/>
      <c r="D13" s="44" t="s">
        <v>6384</v>
      </c>
      <c r="E13" s="44" t="s">
        <v>6385</v>
      </c>
      <c r="F13" s="236">
        <f>H13/6.896</f>
        <v>217.51740139211137</v>
      </c>
      <c r="G13" s="577">
        <f>F13*3</f>
        <v>652.55220417633404</v>
      </c>
      <c r="H13" s="236">
        <f>ROUND(1500*Belarus*(1-C51),2)</f>
        <v>1500</v>
      </c>
      <c r="J13" s="2036"/>
      <c r="K13" s="1901"/>
      <c r="L13" s="1901"/>
      <c r="M13" s="1901"/>
      <c r="N13" s="1716"/>
      <c r="O13" s="1716"/>
      <c r="P13" s="1530"/>
      <c r="Q13" s="1752"/>
    </row>
    <row r="14" spans="1:17" ht="23.25" customHeight="1">
      <c r="A14" s="2703" t="s">
        <v>6386</v>
      </c>
      <c r="B14" s="1716" t="s">
        <v>6371</v>
      </c>
      <c r="C14" s="1716"/>
      <c r="D14" s="1716" t="s">
        <v>6387</v>
      </c>
      <c r="E14" s="1530" t="s">
        <v>6360</v>
      </c>
      <c r="F14" s="1761">
        <f>H14/7.14</f>
        <v>252.10084033613447</v>
      </c>
      <c r="G14" s="2797">
        <f>F14*3</f>
        <v>756.30252100840335</v>
      </c>
      <c r="H14" s="1761">
        <f>ROUND(1800*Belarus*(1-C51),2)</f>
        <v>1800</v>
      </c>
      <c r="J14" s="2035" t="s">
        <v>6388</v>
      </c>
      <c r="K14" s="1900" t="s">
        <v>6389</v>
      </c>
      <c r="L14" s="44" t="s">
        <v>6390</v>
      </c>
      <c r="M14" s="1900"/>
      <c r="N14" s="1900" t="s">
        <v>6391</v>
      </c>
      <c r="O14" s="1900" t="s">
        <v>6382</v>
      </c>
      <c r="P14" s="769">
        <f>ROUND(1150*Belarus*(1-C51),2)</f>
        <v>1150</v>
      </c>
      <c r="Q14" s="101" t="s">
        <v>369</v>
      </c>
    </row>
    <row r="15" spans="1:17" ht="23.25" customHeight="1">
      <c r="A15" s="2703"/>
      <c r="B15" s="1716"/>
      <c r="C15" s="1716"/>
      <c r="D15" s="1716"/>
      <c r="E15" s="1530"/>
      <c r="F15" s="1761"/>
      <c r="G15" s="2797"/>
      <c r="H15" s="1761"/>
      <c r="J15" s="2801"/>
      <c r="K15" s="1997"/>
      <c r="L15" s="44" t="s">
        <v>6392</v>
      </c>
      <c r="M15" s="1997"/>
      <c r="N15" s="1997"/>
      <c r="O15" s="1997"/>
      <c r="P15" s="769">
        <f>ROUND(1280*Belarus*(1-C51),2)</f>
        <v>1280</v>
      </c>
      <c r="Q15" s="101" t="s">
        <v>369</v>
      </c>
    </row>
    <row r="16" spans="1:17" ht="27.75" customHeight="1">
      <c r="A16" s="1479" t="s">
        <v>6393</v>
      </c>
      <c r="B16" s="1517"/>
      <c r="C16" s="1517"/>
      <c r="D16" s="1517"/>
      <c r="E16" s="1517"/>
      <c r="F16" s="1517"/>
      <c r="G16" s="1517"/>
      <c r="H16" s="1480"/>
      <c r="J16" s="2801"/>
      <c r="K16" s="1997"/>
      <c r="L16" s="44" t="s">
        <v>6394</v>
      </c>
      <c r="M16" s="1997"/>
      <c r="N16" s="1997"/>
      <c r="O16" s="1997"/>
      <c r="P16" s="769">
        <f>ROUND(1400*Belarus*(1-C51),2)</f>
        <v>1400</v>
      </c>
      <c r="Q16" s="101" t="s">
        <v>369</v>
      </c>
    </row>
    <row r="17" spans="1:17" ht="30" customHeight="1">
      <c r="A17" s="2035" t="s">
        <v>6395</v>
      </c>
      <c r="B17" s="1900" t="s">
        <v>6358</v>
      </c>
      <c r="C17" s="1900"/>
      <c r="D17" s="1716" t="s">
        <v>6384</v>
      </c>
      <c r="E17" s="1716" t="s">
        <v>6385</v>
      </c>
      <c r="F17" s="1877">
        <f>H17/6.896</f>
        <v>232.01856148491879</v>
      </c>
      <c r="G17" s="2824">
        <f>F17*3</f>
        <v>696.05568445475637</v>
      </c>
      <c r="H17" s="1297">
        <f>ROUND(1600*Belarus*(1-C51),2)</f>
        <v>1600</v>
      </c>
      <c r="J17" s="2036"/>
      <c r="K17" s="1901"/>
      <c r="L17" s="44" t="s">
        <v>6396</v>
      </c>
      <c r="M17" s="1901"/>
      <c r="N17" s="1901"/>
      <c r="O17" s="1901"/>
      <c r="P17" s="769">
        <f>ROUND(1530*Belarus*(1-C51),2)</f>
        <v>1530</v>
      </c>
      <c r="Q17" s="101" t="s">
        <v>369</v>
      </c>
    </row>
    <row r="18" spans="1:17" ht="27" customHeight="1">
      <c r="A18" s="2036"/>
      <c r="B18" s="1901"/>
      <c r="C18" s="1901"/>
      <c r="D18" s="1716"/>
      <c r="E18" s="1716"/>
      <c r="F18" s="1877"/>
      <c r="G18" s="2826"/>
      <c r="H18" s="1297"/>
      <c r="J18" s="1073" t="s">
        <v>6397</v>
      </c>
      <c r="K18" s="44" t="s">
        <v>6362</v>
      </c>
      <c r="L18" s="1716" t="s">
        <v>369</v>
      </c>
      <c r="M18" s="1716"/>
      <c r="N18" s="1716" t="s">
        <v>369</v>
      </c>
      <c r="O18" s="1716" t="s">
        <v>6398</v>
      </c>
      <c r="P18" s="2990">
        <f>ROUND(15*Belarus*(1-C51),2)</f>
        <v>15</v>
      </c>
      <c r="Q18" s="1281" t="s">
        <v>369</v>
      </c>
    </row>
    <row r="19" spans="1:17" ht="19.5" customHeight="1">
      <c r="A19" s="1479" t="s">
        <v>6399</v>
      </c>
      <c r="B19" s="1517"/>
      <c r="C19" s="1517"/>
      <c r="D19" s="1517"/>
      <c r="E19" s="1517"/>
      <c r="F19" s="1517"/>
      <c r="G19" s="1517"/>
      <c r="H19" s="1480"/>
      <c r="J19" s="2703" t="s">
        <v>6400</v>
      </c>
      <c r="K19" s="1716" t="s">
        <v>6370</v>
      </c>
      <c r="L19" s="1716"/>
      <c r="M19" s="1716"/>
      <c r="N19" s="1716"/>
      <c r="O19" s="1716"/>
      <c r="P19" s="2990"/>
      <c r="Q19" s="1281"/>
    </row>
    <row r="20" spans="1:17" ht="17.25" customHeight="1">
      <c r="A20" s="2703" t="s">
        <v>6401</v>
      </c>
      <c r="B20" s="1716" t="s">
        <v>6402</v>
      </c>
      <c r="C20" s="1580"/>
      <c r="D20" s="1716" t="s">
        <v>6403</v>
      </c>
      <c r="E20" s="1716" t="s">
        <v>6404</v>
      </c>
      <c r="F20" s="2704" t="s">
        <v>369</v>
      </c>
      <c r="G20" s="2704" t="s">
        <v>369</v>
      </c>
      <c r="H20" s="1752">
        <f>ROUND(1850*Belarus*(1-C51),2)</f>
        <v>1850</v>
      </c>
      <c r="J20" s="2703"/>
      <c r="K20" s="1716"/>
      <c r="L20" s="1716"/>
      <c r="M20" s="1716"/>
      <c r="N20" s="1716"/>
      <c r="O20" s="1716"/>
      <c r="P20" s="2990"/>
      <c r="Q20" s="1281"/>
    </row>
    <row r="21" spans="1:17" ht="30.75" customHeight="1">
      <c r="A21" s="2703"/>
      <c r="B21" s="1716"/>
      <c r="C21" s="1580"/>
      <c r="D21" s="1716"/>
      <c r="E21" s="1716"/>
      <c r="F21" s="2704"/>
      <c r="G21" s="2704"/>
      <c r="H21" s="1752"/>
      <c r="J21" s="350" t="s">
        <v>6405</v>
      </c>
      <c r="K21" s="44" t="s">
        <v>6362</v>
      </c>
      <c r="L21" s="44" t="s">
        <v>369</v>
      </c>
      <c r="M21" s="44"/>
      <c r="N21" s="44" t="s">
        <v>369</v>
      </c>
      <c r="O21" s="44" t="s">
        <v>6398</v>
      </c>
      <c r="P21" s="1074">
        <f>ROUND(8*Belarus*(1-C51),2)</f>
        <v>8</v>
      </c>
      <c r="Q21" s="43" t="s">
        <v>369</v>
      </c>
    </row>
    <row r="22" spans="1:17" ht="30.75" customHeight="1">
      <c r="A22" s="2703"/>
      <c r="B22" s="1716"/>
      <c r="C22" s="1580"/>
      <c r="D22" s="1716"/>
      <c r="E22" s="1716"/>
      <c r="F22" s="2704"/>
      <c r="G22" s="2704"/>
      <c r="H22" s="1752"/>
      <c r="J22" s="1073" t="s">
        <v>6406</v>
      </c>
      <c r="K22" s="44" t="s">
        <v>6362</v>
      </c>
      <c r="L22" s="300" t="s">
        <v>369</v>
      </c>
      <c r="M22" s="300"/>
      <c r="N22" s="300" t="s">
        <v>369</v>
      </c>
      <c r="O22" s="75" t="s">
        <v>369</v>
      </c>
      <c r="P22" s="1072">
        <f>ROUND(15*Belarus*(1-C51),2)</f>
        <v>15</v>
      </c>
      <c r="Q22" s="105" t="s">
        <v>369</v>
      </c>
    </row>
    <row r="23" spans="1:17" ht="17.25" customHeight="1">
      <c r="J23" s="2035" t="s">
        <v>6407</v>
      </c>
      <c r="K23" s="1900" t="s">
        <v>6408</v>
      </c>
      <c r="L23" s="1900" t="s">
        <v>6358</v>
      </c>
      <c r="M23" s="1900"/>
      <c r="N23" s="1900" t="s">
        <v>6409</v>
      </c>
      <c r="O23" s="1900" t="s">
        <v>6377</v>
      </c>
      <c r="P23" s="1999">
        <f>ROUND(200*Belarus*(1-C51),2)</f>
        <v>200</v>
      </c>
      <c r="Q23" s="2806">
        <f>P23*3</f>
        <v>600</v>
      </c>
    </row>
    <row r="24" spans="1:17" ht="27" customHeight="1" thickBot="1">
      <c r="A24" s="1273" t="s">
        <v>6410</v>
      </c>
      <c r="B24" s="1273"/>
      <c r="C24" s="1273"/>
      <c r="D24" s="1273"/>
      <c r="E24" s="1273"/>
      <c r="F24" s="1273"/>
      <c r="G24" s="1273"/>
      <c r="H24" s="1273"/>
      <c r="J24" s="2036"/>
      <c r="K24" s="1901"/>
      <c r="L24" s="1901"/>
      <c r="M24" s="1901"/>
      <c r="N24" s="1901"/>
      <c r="O24" s="1901"/>
      <c r="P24" s="2002"/>
      <c r="Q24" s="2807"/>
    </row>
    <row r="25" spans="1:17" ht="15" customHeight="1">
      <c r="F25" s="547" t="s">
        <v>315</v>
      </c>
      <c r="G25" s="2983">
        <v>43264</v>
      </c>
      <c r="H25" s="2983"/>
      <c r="J25" s="2703" t="s">
        <v>6411</v>
      </c>
      <c r="K25" s="1716" t="s">
        <v>6362</v>
      </c>
      <c r="L25" s="1716" t="s">
        <v>6412</v>
      </c>
      <c r="M25" s="1618"/>
      <c r="N25" s="1716">
        <v>3000</v>
      </c>
      <c r="O25" s="1716" t="s">
        <v>6377</v>
      </c>
      <c r="P25" s="1761">
        <f>ROUND(490*Belarus*(1-C51),2)</f>
        <v>490</v>
      </c>
      <c r="Q25" s="1760">
        <f>P25*3</f>
        <v>1470</v>
      </c>
    </row>
    <row r="26" spans="1:17" ht="30" customHeight="1">
      <c r="A26" s="131"/>
      <c r="B26" s="1352" t="s">
        <v>307</v>
      </c>
      <c r="C26" s="1352"/>
      <c r="D26" s="1352"/>
      <c r="E26" s="1398" t="s">
        <v>6413</v>
      </c>
      <c r="F26" s="1398"/>
      <c r="G26" s="1352" t="s">
        <v>6414</v>
      </c>
      <c r="H26" s="1352"/>
      <c r="J26" s="2703"/>
      <c r="K26" s="1716"/>
      <c r="L26" s="1716"/>
      <c r="M26" s="1618"/>
      <c r="N26" s="1716"/>
      <c r="O26" s="1716"/>
      <c r="P26" s="1761"/>
      <c r="Q26" s="1760"/>
    </row>
    <row r="27" spans="1:17" ht="25.5" customHeight="1">
      <c r="A27" s="1907"/>
      <c r="B27" s="1332" t="s">
        <v>6415</v>
      </c>
      <c r="C27" s="1332"/>
      <c r="D27" s="1332"/>
      <c r="E27" s="1281" t="s">
        <v>6416</v>
      </c>
      <c r="F27" s="1281"/>
      <c r="G27" s="1752">
        <f>ROUND(11100*Belarus*(1-E51),2)</f>
        <v>11100</v>
      </c>
      <c r="H27" s="1752"/>
      <c r="J27" s="2703"/>
      <c r="K27" s="1716"/>
      <c r="L27" s="1716"/>
      <c r="M27" s="1618"/>
      <c r="N27" s="1716"/>
      <c r="O27" s="1716"/>
      <c r="P27" s="1761"/>
      <c r="Q27" s="1760"/>
    </row>
    <row r="28" spans="1:17" ht="33" customHeight="1">
      <c r="A28" s="1908"/>
      <c r="B28" s="1332" t="s">
        <v>6417</v>
      </c>
      <c r="C28" s="1332"/>
      <c r="D28" s="1332"/>
      <c r="E28" s="1281" t="s">
        <v>6418</v>
      </c>
      <c r="F28" s="1281"/>
      <c r="G28" s="1752">
        <f>ROUND(3150*Belarus*(1-E51),2)</f>
        <v>3150</v>
      </c>
      <c r="H28" s="1752"/>
      <c r="J28" s="2035" t="s">
        <v>6419</v>
      </c>
      <c r="K28" s="1891" t="s">
        <v>6420</v>
      </c>
      <c r="L28" s="1900" t="s">
        <v>6358</v>
      </c>
      <c r="M28" s="1618"/>
      <c r="N28" s="1716" t="s">
        <v>6421</v>
      </c>
      <c r="O28" s="1716" t="s">
        <v>6422</v>
      </c>
      <c r="P28" s="1716">
        <f>ROUND(675*Belarus*(1-C51),2)</f>
        <v>675</v>
      </c>
      <c r="Q28" s="2987">
        <f>P28*3</f>
        <v>2025</v>
      </c>
    </row>
    <row r="29" spans="1:17" ht="23.25" customHeight="1">
      <c r="A29" s="1908"/>
      <c r="B29" s="1332" t="s">
        <v>6423</v>
      </c>
      <c r="C29" s="1332"/>
      <c r="D29" s="1332"/>
      <c r="E29" s="1281" t="s">
        <v>6424</v>
      </c>
      <c r="F29" s="1281"/>
      <c r="G29" s="1752">
        <f>ROUND(9180*Belarus*(1-E51),2)</f>
        <v>9180</v>
      </c>
      <c r="H29" s="1752"/>
      <c r="J29" s="2036"/>
      <c r="K29" s="1893"/>
      <c r="L29" s="1901"/>
      <c r="M29" s="1618"/>
      <c r="N29" s="1716"/>
      <c r="O29" s="1716"/>
      <c r="P29" s="1716"/>
      <c r="Q29" s="2988"/>
    </row>
    <row r="30" spans="1:17">
      <c r="A30" s="1908"/>
      <c r="B30" s="1332" t="s">
        <v>6425</v>
      </c>
      <c r="C30" s="1332"/>
      <c r="D30" s="1332"/>
      <c r="E30" s="1281" t="s">
        <v>6418</v>
      </c>
      <c r="F30" s="1281"/>
      <c r="G30" s="1752">
        <f>ROUND(2700*Belarus*(1-E51),2)</f>
        <v>2700</v>
      </c>
      <c r="H30" s="1752"/>
      <c r="J30" s="1388" t="s">
        <v>6426</v>
      </c>
      <c r="K30" s="1388"/>
      <c r="L30" s="1388"/>
      <c r="M30" s="1388"/>
      <c r="N30" s="1388"/>
      <c r="O30" s="1388"/>
      <c r="P30" s="1388"/>
      <c r="Q30" s="1388"/>
    </row>
    <row r="31" spans="1:17">
      <c r="A31" s="1909"/>
      <c r="B31" s="1332" t="s">
        <v>6427</v>
      </c>
      <c r="C31" s="1332"/>
      <c r="D31" s="1332"/>
      <c r="E31" s="1281" t="s">
        <v>6428</v>
      </c>
      <c r="F31" s="1281"/>
      <c r="G31" s="1752">
        <f>ROUND(3800*Belarus*(1-G51),2)</f>
        <v>3800</v>
      </c>
      <c r="H31" s="2989"/>
      <c r="J31" s="2974"/>
      <c r="K31" s="2975"/>
      <c r="L31" s="2975"/>
      <c r="M31" s="2975"/>
      <c r="N31" s="2975"/>
      <c r="O31" s="2975"/>
      <c r="P31" s="2975"/>
      <c r="Q31" s="2976"/>
    </row>
    <row r="32" spans="1:17">
      <c r="A32" s="1280" t="s">
        <v>6429</v>
      </c>
      <c r="B32" s="1280"/>
      <c r="C32" s="1280"/>
      <c r="D32" s="1280"/>
      <c r="E32" s="1280"/>
      <c r="F32" s="1280"/>
      <c r="G32" s="1280"/>
      <c r="H32" s="1280"/>
      <c r="J32" s="2977"/>
      <c r="K32" s="2978"/>
      <c r="L32" s="2978"/>
      <c r="M32" s="2978"/>
      <c r="N32" s="2978"/>
      <c r="O32" s="2978"/>
      <c r="P32" s="2978"/>
      <c r="Q32" s="2979"/>
    </row>
    <row r="33" spans="1:17">
      <c r="A33" s="1075"/>
      <c r="B33" s="1075"/>
      <c r="C33" s="1075"/>
      <c r="D33" s="1075"/>
      <c r="E33" s="1075"/>
      <c r="F33" s="1075"/>
      <c r="G33" s="1075"/>
      <c r="H33" s="1075"/>
      <c r="J33" s="2977"/>
      <c r="K33" s="2978"/>
      <c r="L33" s="2978"/>
      <c r="M33" s="2978"/>
      <c r="N33" s="2978"/>
      <c r="O33" s="2978"/>
      <c r="P33" s="2978"/>
      <c r="Q33" s="2979"/>
    </row>
    <row r="34" spans="1:17">
      <c r="J34" s="2977"/>
      <c r="K34" s="2978"/>
      <c r="L34" s="2978"/>
      <c r="M34" s="2978"/>
      <c r="N34" s="2978"/>
      <c r="O34" s="2978"/>
      <c r="P34" s="2978"/>
      <c r="Q34" s="2979"/>
    </row>
    <row r="35" spans="1:17" ht="21.75" customHeight="1" thickBot="1">
      <c r="A35" s="1273" t="s">
        <v>6430</v>
      </c>
      <c r="B35" s="1273"/>
      <c r="C35" s="1273"/>
      <c r="D35" s="1273"/>
      <c r="E35" s="1273"/>
      <c r="F35" s="1273"/>
      <c r="G35" s="1273"/>
      <c r="H35" s="1273"/>
      <c r="J35" s="2980"/>
      <c r="K35" s="2981"/>
      <c r="L35" s="2981"/>
      <c r="M35" s="2981"/>
      <c r="N35" s="2981"/>
      <c r="O35" s="2981"/>
      <c r="P35" s="2981"/>
      <c r="Q35" s="2982"/>
    </row>
    <row r="36" spans="1:17">
      <c r="F36" s="547" t="s">
        <v>315</v>
      </c>
      <c r="G36" s="2983">
        <v>42837</v>
      </c>
      <c r="H36" s="2983"/>
      <c r="J36" s="1479" t="s">
        <v>6431</v>
      </c>
      <c r="K36" s="1517"/>
      <c r="L36" s="1517"/>
      <c r="M36" s="1517"/>
      <c r="N36" s="1517"/>
      <c r="O36" s="1517"/>
      <c r="P36" s="1517"/>
      <c r="Q36" s="1480"/>
    </row>
    <row r="37" spans="1:17" ht="12.75" customHeight="1">
      <c r="A37" s="131"/>
      <c r="B37" s="1352" t="s">
        <v>307</v>
      </c>
      <c r="C37" s="1352"/>
      <c r="D37" s="1352"/>
      <c r="E37" s="1398" t="s">
        <v>3467</v>
      </c>
      <c r="F37" s="1398"/>
      <c r="G37" s="1352" t="s">
        <v>6432</v>
      </c>
      <c r="H37" s="1352"/>
      <c r="J37" s="2984"/>
      <c r="K37" s="2130"/>
      <c r="L37" s="2130"/>
      <c r="M37" s="2130"/>
      <c r="N37" s="2130"/>
      <c r="O37" s="2130"/>
      <c r="P37" s="2130"/>
      <c r="Q37" s="2136"/>
    </row>
    <row r="38" spans="1:17" ht="42.75" customHeight="1">
      <c r="A38" s="1618"/>
      <c r="B38" s="1779" t="s">
        <v>6433</v>
      </c>
      <c r="C38" s="1780"/>
      <c r="D38" s="1781"/>
      <c r="E38" s="1399" t="s">
        <v>6434</v>
      </c>
      <c r="F38" s="1820"/>
      <c r="G38" s="1886" t="str">
        <f>ROUND(200*Belarus*(1-I51),2)&amp;"*"</f>
        <v>200*</v>
      </c>
      <c r="H38" s="1887"/>
      <c r="J38" s="2985"/>
      <c r="K38" s="2131"/>
      <c r="L38" s="2131"/>
      <c r="M38" s="2131"/>
      <c r="N38" s="2131"/>
      <c r="O38" s="2131"/>
      <c r="P38" s="2131"/>
      <c r="Q38" s="2137"/>
    </row>
    <row r="39" spans="1:17" ht="20.25" customHeight="1">
      <c r="A39" s="1618"/>
      <c r="B39" s="1786" t="s">
        <v>6435</v>
      </c>
      <c r="C39" s="1787"/>
      <c r="D39" s="1788"/>
      <c r="E39" s="2802"/>
      <c r="F39" s="2973"/>
      <c r="G39" s="1368" t="str">
        <f>ROUND(300*Belarus*(1-I51),2)&amp;"*"</f>
        <v>300*</v>
      </c>
      <c r="H39" s="1370"/>
      <c r="J39" s="2986"/>
      <c r="K39" s="2132"/>
      <c r="L39" s="2132"/>
      <c r="M39" s="2132"/>
      <c r="N39" s="2132"/>
      <c r="O39" s="2132"/>
      <c r="P39" s="2132"/>
      <c r="Q39" s="2138"/>
    </row>
    <row r="40" spans="1:17" ht="20.25" customHeight="1">
      <c r="A40" s="1618"/>
      <c r="B40" s="1789"/>
      <c r="C40" s="1790"/>
      <c r="D40" s="1791"/>
      <c r="E40" s="1821"/>
      <c r="F40" s="1823"/>
      <c r="G40" s="1374"/>
      <c r="H40" s="1376"/>
      <c r="J40" s="1280" t="s">
        <v>1067</v>
      </c>
      <c r="K40" s="1280"/>
      <c r="L40" s="1280"/>
      <c r="M40" s="1280"/>
      <c r="N40" s="1280"/>
      <c r="O40" s="1280"/>
      <c r="P40" s="1280"/>
      <c r="Q40" s="1280"/>
    </row>
    <row r="41" spans="1:17" ht="12.75" customHeight="1">
      <c r="A41" s="1280" t="s">
        <v>6436</v>
      </c>
      <c r="B41" s="1280"/>
      <c r="C41" s="1280"/>
      <c r="D41" s="1280"/>
      <c r="E41" s="1280"/>
      <c r="F41" s="1280"/>
      <c r="G41" s="1280"/>
      <c r="H41" s="1280"/>
      <c r="J41" s="1280" t="s">
        <v>6437</v>
      </c>
      <c r="K41" s="1280"/>
      <c r="L41" s="1280"/>
      <c r="M41" s="1280"/>
      <c r="N41" s="1280"/>
      <c r="O41" s="1280"/>
      <c r="P41" s="1280"/>
      <c r="Q41" s="1280"/>
    </row>
    <row r="42" spans="1:17">
      <c r="A42" s="1280" t="s">
        <v>6438</v>
      </c>
      <c r="B42" s="1280"/>
      <c r="C42" s="1280"/>
      <c r="D42" s="1280"/>
      <c r="E42" s="1280"/>
      <c r="F42" s="1280"/>
      <c r="G42" s="1280"/>
      <c r="H42" s="1280"/>
      <c r="J42" s="1332" t="s">
        <v>6439</v>
      </c>
      <c r="K42" s="1332"/>
      <c r="L42" s="1332"/>
      <c r="M42" s="1332"/>
      <c r="N42" s="1332"/>
      <c r="O42" s="1332"/>
      <c r="P42" s="1332"/>
      <c r="Q42" s="1332"/>
    </row>
    <row r="43" spans="1:17">
      <c r="A43" s="1280"/>
      <c r="B43" s="1280"/>
      <c r="C43" s="1280"/>
      <c r="D43" s="1280"/>
      <c r="E43" s="1280"/>
      <c r="F43" s="1280"/>
      <c r="G43" s="1280"/>
      <c r="H43" s="1280"/>
      <c r="J43" s="1332"/>
      <c r="K43" s="1332"/>
      <c r="L43" s="1332"/>
      <c r="M43" s="1332"/>
      <c r="N43" s="1332"/>
      <c r="O43" s="1332"/>
      <c r="P43" s="1332"/>
      <c r="Q43" s="1332"/>
    </row>
    <row r="49" spans="1:11">
      <c r="A49" s="2519" t="s">
        <v>1835</v>
      </c>
      <c r="B49" s="2519"/>
      <c r="C49" s="2968" t="s">
        <v>6440</v>
      </c>
      <c r="D49" s="2968"/>
      <c r="E49" s="2968" t="s">
        <v>6441</v>
      </c>
      <c r="F49" s="2968"/>
      <c r="G49" s="2969" t="s">
        <v>6442</v>
      </c>
      <c r="H49" s="2970"/>
      <c r="I49" s="2968" t="s">
        <v>259</v>
      </c>
      <c r="J49" s="2968"/>
      <c r="K49" s="1076"/>
    </row>
    <row r="50" spans="1:11">
      <c r="A50" s="2519"/>
      <c r="B50" s="2519"/>
      <c r="C50" s="2968"/>
      <c r="D50" s="2968"/>
      <c r="E50" s="2968"/>
      <c r="F50" s="2968"/>
      <c r="G50" s="2971"/>
      <c r="H50" s="2972"/>
      <c r="I50" s="2968"/>
      <c r="J50" s="2968"/>
      <c r="K50" s="1076"/>
    </row>
    <row r="51" spans="1:11">
      <c r="A51" s="2519"/>
      <c r="B51" s="2519"/>
      <c r="C51" s="2195">
        <v>0</v>
      </c>
      <c r="D51" s="2195"/>
      <c r="E51" s="2195">
        <v>0</v>
      </c>
      <c r="F51" s="2195"/>
      <c r="G51" s="2195">
        <v>0</v>
      </c>
      <c r="H51" s="2195"/>
      <c r="I51" s="2195">
        <v>0</v>
      </c>
      <c r="J51" s="2195"/>
      <c r="K51" s="1077"/>
    </row>
  </sheetData>
  <sheetProtection selectLockedCells="1" selectUnlockedCells="1"/>
  <mergeCells count="169">
    <mergeCell ref="P2:Q2"/>
    <mergeCell ref="P3:Q3"/>
    <mergeCell ref="A4:A5"/>
    <mergeCell ref="B4:B5"/>
    <mergeCell ref="C4:C5"/>
    <mergeCell ref="D4:D5"/>
    <mergeCell ref="E4:E5"/>
    <mergeCell ref="J4:J5"/>
    <mergeCell ref="K4:K5"/>
    <mergeCell ref="L4:L5"/>
    <mergeCell ref="A1:D1"/>
    <mergeCell ref="J1:M1"/>
    <mergeCell ref="A2:M2"/>
    <mergeCell ref="M4:M5"/>
    <mergeCell ref="N4:N5"/>
    <mergeCell ref="O4:O5"/>
    <mergeCell ref="A6:H6"/>
    <mergeCell ref="J6:Q6"/>
    <mergeCell ref="F4:F5"/>
    <mergeCell ref="G4:G5"/>
    <mergeCell ref="H4:H5"/>
    <mergeCell ref="A7:A9"/>
    <mergeCell ref="J7:J8"/>
    <mergeCell ref="L7:L8"/>
    <mergeCell ref="K7:K8"/>
    <mergeCell ref="P4:P5"/>
    <mergeCell ref="Q4:Q5"/>
    <mergeCell ref="M7:M9"/>
    <mergeCell ref="N7:N8"/>
    <mergeCell ref="O7:O9"/>
    <mergeCell ref="P12:P13"/>
    <mergeCell ref="Q12:Q13"/>
    <mergeCell ref="Q7:Q8"/>
    <mergeCell ref="M10:M11"/>
    <mergeCell ref="P7:P8"/>
    <mergeCell ref="N10:N11"/>
    <mergeCell ref="O10:O11"/>
    <mergeCell ref="A10:A12"/>
    <mergeCell ref="F10:F12"/>
    <mergeCell ref="H10:H12"/>
    <mergeCell ref="J10:J11"/>
    <mergeCell ref="K10:K11"/>
    <mergeCell ref="L10:L11"/>
    <mergeCell ref="B7:B13"/>
    <mergeCell ref="C7:C12"/>
    <mergeCell ref="F7:F9"/>
    <mergeCell ref="H7:H9"/>
    <mergeCell ref="F17:F18"/>
    <mergeCell ref="G17:G18"/>
    <mergeCell ref="P10:P11"/>
    <mergeCell ref="Q10:Q11"/>
    <mergeCell ref="J12:J13"/>
    <mergeCell ref="K12:K13"/>
    <mergeCell ref="L12:L13"/>
    <mergeCell ref="M12:M13"/>
    <mergeCell ref="N12:N13"/>
    <mergeCell ref="O12:O13"/>
    <mergeCell ref="A14:A15"/>
    <mergeCell ref="B14:B15"/>
    <mergeCell ref="C14:C15"/>
    <mergeCell ref="D14:D15"/>
    <mergeCell ref="E14:E15"/>
    <mergeCell ref="F14:F15"/>
    <mergeCell ref="G14:G15"/>
    <mergeCell ref="H14:H15"/>
    <mergeCell ref="J14:J17"/>
    <mergeCell ref="O18:O20"/>
    <mergeCell ref="J19:J20"/>
    <mergeCell ref="K19:K20"/>
    <mergeCell ref="G20:G22"/>
    <mergeCell ref="K14:K17"/>
    <mergeCell ref="M14:M17"/>
    <mergeCell ref="N14:N17"/>
    <mergeCell ref="H20:H22"/>
    <mergeCell ref="H17:H18"/>
    <mergeCell ref="P18:P20"/>
    <mergeCell ref="Q18:Q20"/>
    <mergeCell ref="O14:O17"/>
    <mergeCell ref="A16:H16"/>
    <mergeCell ref="A17:A18"/>
    <mergeCell ref="B17:B18"/>
    <mergeCell ref="C17:C18"/>
    <mergeCell ref="D17:D18"/>
    <mergeCell ref="E17:E18"/>
    <mergeCell ref="A19:H19"/>
    <mergeCell ref="A20:A22"/>
    <mergeCell ref="B20:B22"/>
    <mergeCell ref="C20:C22"/>
    <mergeCell ref="D20:D22"/>
    <mergeCell ref="E20:E22"/>
    <mergeCell ref="F20:F22"/>
    <mergeCell ref="J23:J24"/>
    <mergeCell ref="K23:K24"/>
    <mergeCell ref="L23:L24"/>
    <mergeCell ref="M23:M24"/>
    <mergeCell ref="N23:N24"/>
    <mergeCell ref="L18:L20"/>
    <mergeCell ref="M18:M20"/>
    <mergeCell ref="N18:N20"/>
    <mergeCell ref="Q25:Q27"/>
    <mergeCell ref="B26:D26"/>
    <mergeCell ref="E26:F26"/>
    <mergeCell ref="G26:H26"/>
    <mergeCell ref="O23:O24"/>
    <mergeCell ref="P23:P24"/>
    <mergeCell ref="Q23:Q24"/>
    <mergeCell ref="A24:H24"/>
    <mergeCell ref="G25:H25"/>
    <mergeCell ref="N25:N27"/>
    <mergeCell ref="O25:O27"/>
    <mergeCell ref="J25:J27"/>
    <mergeCell ref="K25:K27"/>
    <mergeCell ref="L25:L27"/>
    <mergeCell ref="M25:M27"/>
    <mergeCell ref="P25:P27"/>
    <mergeCell ref="A27:A31"/>
    <mergeCell ref="B27:D27"/>
    <mergeCell ref="E27:F27"/>
    <mergeCell ref="G27:H27"/>
    <mergeCell ref="B28:D28"/>
    <mergeCell ref="E28:F28"/>
    <mergeCell ref="G28:H28"/>
    <mergeCell ref="B31:D31"/>
    <mergeCell ref="E31:F31"/>
    <mergeCell ref="G31:H31"/>
    <mergeCell ref="G30:H30"/>
    <mergeCell ref="J30:Q30"/>
    <mergeCell ref="J28:J29"/>
    <mergeCell ref="K28:K29"/>
    <mergeCell ref="L28:L29"/>
    <mergeCell ref="M28:M29"/>
    <mergeCell ref="N28:N29"/>
    <mergeCell ref="O28:O29"/>
    <mergeCell ref="G37:H37"/>
    <mergeCell ref="J37:Q39"/>
    <mergeCell ref="A38:A40"/>
    <mergeCell ref="P28:P29"/>
    <mergeCell ref="Q28:Q29"/>
    <mergeCell ref="B29:D29"/>
    <mergeCell ref="E29:F29"/>
    <mergeCell ref="G29:H29"/>
    <mergeCell ref="B30:D30"/>
    <mergeCell ref="E30:F30"/>
    <mergeCell ref="J40:Q40"/>
    <mergeCell ref="E51:F51"/>
    <mergeCell ref="G51:H51"/>
    <mergeCell ref="J31:Q35"/>
    <mergeCell ref="A32:H32"/>
    <mergeCell ref="A35:H35"/>
    <mergeCell ref="G36:H36"/>
    <mergeCell ref="J36:Q36"/>
    <mergeCell ref="B37:D37"/>
    <mergeCell ref="E37:F37"/>
    <mergeCell ref="C51:D51"/>
    <mergeCell ref="B38:D38"/>
    <mergeCell ref="E38:F40"/>
    <mergeCell ref="G38:H38"/>
    <mergeCell ref="B39:D40"/>
    <mergeCell ref="G39:H40"/>
    <mergeCell ref="I51:J51"/>
    <mergeCell ref="A41:H41"/>
    <mergeCell ref="J41:Q41"/>
    <mergeCell ref="A42:H43"/>
    <mergeCell ref="J42:Q43"/>
    <mergeCell ref="A49:B51"/>
    <mergeCell ref="C49:D50"/>
    <mergeCell ref="E49:F50"/>
    <mergeCell ref="G49:H50"/>
    <mergeCell ref="I49:J50"/>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54"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53</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zoomScale="70" zoomScaleNormal="70" workbookViewId="0">
      <selection sqref="A1:C1"/>
    </sheetView>
  </sheetViews>
  <sheetFormatPr defaultRowHeight="12.75"/>
  <cols>
    <col min="1" max="1" width="35.28515625" style="17" customWidth="1"/>
    <col min="2" max="2" width="41.42578125" style="17" customWidth="1"/>
    <col min="3" max="3" width="68" style="924" customWidth="1"/>
    <col min="4" max="4" width="27.85546875" style="17" customWidth="1"/>
    <col min="5" max="5" width="33.42578125" style="17" customWidth="1"/>
    <col min="6" max="6" width="15.85546875" style="17" customWidth="1"/>
    <col min="7" max="7" width="11" style="17" customWidth="1"/>
    <col min="8" max="8" width="11.5703125" style="17" customWidth="1"/>
    <col min="9" max="9" width="5" style="17" customWidth="1"/>
    <col min="10" max="10" width="10" style="17" customWidth="1"/>
    <col min="11" max="11" width="11.85546875" style="17" customWidth="1"/>
    <col min="12" max="12" width="10.7109375" style="17" customWidth="1"/>
    <col min="13" max="13" width="11.28515625" style="17" customWidth="1"/>
    <col min="14" max="14" width="12" style="17" customWidth="1"/>
    <col min="15" max="16384" width="9.140625" style="17"/>
  </cols>
  <sheetData>
    <row r="1" spans="1:18">
      <c r="A1" s="3027" t="s">
        <v>312</v>
      </c>
      <c r="B1" s="3027"/>
      <c r="C1" s="3027"/>
    </row>
    <row r="2" spans="1:18" ht="18.75" thickBot="1">
      <c r="A2" s="1851" t="s">
        <v>3517</v>
      </c>
      <c r="B2" s="1851"/>
      <c r="C2" s="1851"/>
      <c r="D2" s="1851"/>
      <c r="E2" s="1851"/>
      <c r="F2" s="1851"/>
      <c r="G2" s="1851"/>
      <c r="H2" s="1851"/>
      <c r="I2" s="1851"/>
      <c r="J2" s="1851"/>
      <c r="K2" s="748"/>
      <c r="L2" s="748"/>
      <c r="M2" s="748" t="s">
        <v>313</v>
      </c>
      <c r="N2" s="828">
        <v>43301</v>
      </c>
    </row>
    <row r="3" spans="1:18">
      <c r="G3" s="829"/>
      <c r="I3" s="829"/>
      <c r="J3" s="829"/>
      <c r="K3" s="829"/>
      <c r="L3" s="829"/>
      <c r="M3" s="829" t="s">
        <v>315</v>
      </c>
      <c r="N3" s="830">
        <v>43301</v>
      </c>
      <c r="O3" s="831"/>
      <c r="P3" s="831"/>
      <c r="Q3" s="831"/>
      <c r="R3" s="831"/>
    </row>
    <row r="4" spans="1:18" ht="25.5" customHeight="1">
      <c r="A4" s="1352" t="s">
        <v>4104</v>
      </c>
      <c r="B4" s="1352" t="s">
        <v>4105</v>
      </c>
      <c r="C4" s="2033" t="s">
        <v>4106</v>
      </c>
      <c r="D4" s="2027" t="s">
        <v>3518</v>
      </c>
      <c r="E4" s="1398" t="s">
        <v>4438</v>
      </c>
      <c r="F4" s="1398"/>
      <c r="G4" s="2033" t="s">
        <v>4107</v>
      </c>
      <c r="H4" s="2033" t="s">
        <v>4108</v>
      </c>
      <c r="I4" s="2033" t="s">
        <v>2731</v>
      </c>
      <c r="J4" s="1452" t="s">
        <v>4109</v>
      </c>
      <c r="K4" s="1477"/>
      <c r="L4" s="1477"/>
      <c r="M4" s="1477"/>
      <c r="N4" s="1478"/>
      <c r="O4" s="164"/>
      <c r="P4" s="164"/>
      <c r="Q4" s="164"/>
      <c r="R4" s="164"/>
    </row>
    <row r="5" spans="1:18" ht="27" customHeight="1">
      <c r="A5" s="1352"/>
      <c r="B5" s="1352"/>
      <c r="C5" s="2034"/>
      <c r="D5" s="2028"/>
      <c r="E5" s="126" t="s">
        <v>4439</v>
      </c>
      <c r="F5" s="126" t="s">
        <v>4440</v>
      </c>
      <c r="G5" s="2034"/>
      <c r="H5" s="2034"/>
      <c r="I5" s="2034"/>
      <c r="J5" s="60" t="s">
        <v>3546</v>
      </c>
      <c r="K5" s="60" t="s">
        <v>3605</v>
      </c>
      <c r="L5" s="60" t="s">
        <v>3606</v>
      </c>
      <c r="M5" s="60" t="s">
        <v>3607</v>
      </c>
      <c r="N5" s="107" t="s">
        <v>3608</v>
      </c>
      <c r="O5" s="831"/>
      <c r="P5" s="164"/>
      <c r="Q5" s="831"/>
      <c r="R5" s="108"/>
    </row>
    <row r="6" spans="1:18" s="661" customFormat="1">
      <c r="A6" s="832" t="s">
        <v>4110</v>
      </c>
      <c r="B6" s="247"/>
      <c r="C6" s="107"/>
      <c r="D6" s="247"/>
      <c r="E6" s="247"/>
      <c r="F6" s="247"/>
      <c r="G6" s="107"/>
      <c r="H6" s="107"/>
      <c r="I6" s="107"/>
      <c r="J6" s="107"/>
      <c r="K6" s="107"/>
      <c r="L6" s="107"/>
      <c r="M6" s="60"/>
      <c r="N6" s="107"/>
      <c r="O6" s="831"/>
      <c r="P6" s="831"/>
      <c r="Q6" s="831"/>
      <c r="R6" s="831"/>
    </row>
    <row r="7" spans="1:18" s="661" customFormat="1" ht="25.5">
      <c r="A7" s="833" t="s">
        <v>4111</v>
      </c>
      <c r="B7" s="834" t="s">
        <v>4112</v>
      </c>
      <c r="C7" s="2994" t="s">
        <v>4113</v>
      </c>
      <c r="D7" s="379" t="s">
        <v>6649</v>
      </c>
      <c r="E7" s="3020">
        <v>110</v>
      </c>
      <c r="F7" s="2146" t="s">
        <v>4441</v>
      </c>
      <c r="G7" s="3013">
        <v>6.5</v>
      </c>
      <c r="H7" s="3013">
        <v>1.21</v>
      </c>
      <c r="I7" s="835" t="s">
        <v>4114</v>
      </c>
      <c r="J7" s="219">
        <f>300*Belarus</f>
        <v>300</v>
      </c>
      <c r="K7" s="219">
        <f>300*Belarus</f>
        <v>300</v>
      </c>
      <c r="L7" s="219">
        <f>300*Belarus</f>
        <v>300</v>
      </c>
      <c r="M7" s="219">
        <f>300*Belarus</f>
        <v>300</v>
      </c>
      <c r="N7" s="219">
        <f>300*Belarus</f>
        <v>300</v>
      </c>
      <c r="O7" s="831"/>
      <c r="P7" s="831"/>
      <c r="Q7" s="831"/>
      <c r="R7" s="831"/>
    </row>
    <row r="8" spans="1:18" s="661" customFormat="1" ht="25.5">
      <c r="A8" s="833" t="s">
        <v>6650</v>
      </c>
      <c r="B8" s="1153" t="s">
        <v>6651</v>
      </c>
      <c r="C8" s="2995"/>
      <c r="D8" s="379" t="s">
        <v>6652</v>
      </c>
      <c r="E8" s="3021"/>
      <c r="F8" s="2147"/>
      <c r="G8" s="3015"/>
      <c r="H8" s="3015"/>
      <c r="I8" s="835" t="s">
        <v>4114</v>
      </c>
      <c r="J8" s="223">
        <f>356*Belarus</f>
        <v>356</v>
      </c>
      <c r="K8" s="223">
        <f>300*Belarus</f>
        <v>300</v>
      </c>
      <c r="L8" s="223">
        <f>356*Belarus</f>
        <v>356</v>
      </c>
      <c r="M8" s="223">
        <f>356*Belarus</f>
        <v>356</v>
      </c>
      <c r="N8" s="223">
        <f>356*Belarus</f>
        <v>356</v>
      </c>
      <c r="O8" s="831"/>
      <c r="P8" s="831"/>
      <c r="Q8" s="831"/>
      <c r="R8" s="831"/>
    </row>
    <row r="9" spans="1:18" s="661" customFormat="1" ht="15">
      <c r="A9" s="833" t="s">
        <v>4442</v>
      </c>
      <c r="B9" s="834" t="s">
        <v>4443</v>
      </c>
      <c r="C9" s="925" t="s">
        <v>4444</v>
      </c>
      <c r="D9" s="506" t="s">
        <v>3544</v>
      </c>
      <c r="E9" s="506">
        <v>110</v>
      </c>
      <c r="F9" s="506">
        <v>6</v>
      </c>
      <c r="G9" s="835">
        <v>7.5</v>
      </c>
      <c r="H9" s="835">
        <v>1.21</v>
      </c>
      <c r="I9" s="835" t="s">
        <v>4114</v>
      </c>
      <c r="J9" s="219">
        <f>343*Belarus</f>
        <v>343</v>
      </c>
      <c r="K9" s="219">
        <f>343*Belarus</f>
        <v>343</v>
      </c>
      <c r="L9" s="219">
        <f>343*Belarus</f>
        <v>343</v>
      </c>
      <c r="M9" s="219">
        <f>343*Belarus</f>
        <v>343</v>
      </c>
      <c r="N9" s="219">
        <f>343*Belarus</f>
        <v>343</v>
      </c>
      <c r="O9" s="831"/>
      <c r="P9" s="831"/>
      <c r="Q9" s="831"/>
      <c r="R9" s="831"/>
    </row>
    <row r="10" spans="1:18" s="661" customFormat="1" ht="25.5">
      <c r="A10" s="833" t="s">
        <v>4115</v>
      </c>
      <c r="B10" s="834" t="s">
        <v>4116</v>
      </c>
      <c r="C10" s="837" t="s">
        <v>4117</v>
      </c>
      <c r="D10" s="506" t="s">
        <v>3544</v>
      </c>
      <c r="E10" s="506">
        <v>110</v>
      </c>
      <c r="F10" s="506">
        <v>6</v>
      </c>
      <c r="G10" s="835">
        <v>6.5</v>
      </c>
      <c r="H10" s="835">
        <v>1.21</v>
      </c>
      <c r="I10" s="835" t="s">
        <v>4114</v>
      </c>
      <c r="J10" s="219">
        <f>420*Belarus</f>
        <v>420</v>
      </c>
      <c r="K10" s="219">
        <f>420*Belarus</f>
        <v>420</v>
      </c>
      <c r="L10" s="219">
        <f>420*Belarus</f>
        <v>420</v>
      </c>
      <c r="M10" s="219">
        <f>420*Belarus</f>
        <v>420</v>
      </c>
      <c r="N10" s="219">
        <f>420*Belarus</f>
        <v>420</v>
      </c>
      <c r="O10" s="831"/>
      <c r="P10" s="831"/>
      <c r="Q10" s="831"/>
      <c r="R10" s="831"/>
    </row>
    <row r="11" spans="1:18" s="661" customFormat="1">
      <c r="A11" s="832" t="s">
        <v>4118</v>
      </c>
      <c r="B11" s="247"/>
      <c r="C11" s="107"/>
      <c r="D11" s="247"/>
      <c r="E11" s="247"/>
      <c r="F11" s="247"/>
      <c r="G11" s="107"/>
      <c r="H11" s="107"/>
      <c r="I11" s="107"/>
      <c r="J11" s="107"/>
      <c r="K11" s="107"/>
      <c r="L11" s="107"/>
      <c r="M11" s="60"/>
      <c r="N11" s="107"/>
      <c r="O11" s="831"/>
      <c r="P11" s="831"/>
      <c r="Q11" s="831"/>
      <c r="R11" s="831"/>
    </row>
    <row r="12" spans="1:18" s="661" customFormat="1" ht="38.25">
      <c r="A12" s="3004" t="s">
        <v>4119</v>
      </c>
      <c r="B12" s="837" t="s">
        <v>4120</v>
      </c>
      <c r="C12" s="2994" t="s">
        <v>4121</v>
      </c>
      <c r="D12" s="103" t="s">
        <v>3525</v>
      </c>
      <c r="E12" s="103" t="s">
        <v>4445</v>
      </c>
      <c r="F12" s="103" t="s">
        <v>4446</v>
      </c>
      <c r="G12" s="926">
        <v>12</v>
      </c>
      <c r="H12" s="1784">
        <v>1.21</v>
      </c>
      <c r="I12" s="3013" t="s">
        <v>4114</v>
      </c>
      <c r="J12" s="219">
        <f t="shared" ref="J12:J17" si="0">96*Belarus</f>
        <v>96</v>
      </c>
      <c r="K12" s="219">
        <f t="shared" ref="K12:N14" si="1">96*Belarus</f>
        <v>96</v>
      </c>
      <c r="L12" s="219">
        <f t="shared" si="1"/>
        <v>96</v>
      </c>
      <c r="M12" s="219">
        <f t="shared" si="1"/>
        <v>96</v>
      </c>
      <c r="N12" s="219">
        <f t="shared" si="1"/>
        <v>96</v>
      </c>
    </row>
    <row r="13" spans="1:18" s="661" customFormat="1" ht="25.5">
      <c r="A13" s="3009"/>
      <c r="B13" s="837" t="s">
        <v>4122</v>
      </c>
      <c r="C13" s="3010"/>
      <c r="D13" s="103" t="s">
        <v>4447</v>
      </c>
      <c r="E13" s="103">
        <v>200</v>
      </c>
      <c r="F13" s="103">
        <v>11</v>
      </c>
      <c r="G13" s="926">
        <v>6</v>
      </c>
      <c r="H13" s="1785"/>
      <c r="I13" s="3014"/>
      <c r="J13" s="219">
        <f t="shared" si="0"/>
        <v>96</v>
      </c>
      <c r="K13" s="219" t="s">
        <v>369</v>
      </c>
      <c r="L13" s="219">
        <f t="shared" si="1"/>
        <v>96</v>
      </c>
      <c r="M13" s="219">
        <f t="shared" si="1"/>
        <v>96</v>
      </c>
      <c r="N13" s="219">
        <f t="shared" si="1"/>
        <v>96</v>
      </c>
    </row>
    <row r="14" spans="1:18" s="661" customFormat="1">
      <c r="A14" s="3009"/>
      <c r="B14" s="837" t="s">
        <v>4123</v>
      </c>
      <c r="C14" s="3010"/>
      <c r="D14" s="379" t="s">
        <v>6786</v>
      </c>
      <c r="E14" s="379">
        <v>200</v>
      </c>
      <c r="F14" s="379">
        <v>6</v>
      </c>
      <c r="G14" s="3024">
        <v>12</v>
      </c>
      <c r="H14" s="839">
        <v>1.1000000000000001</v>
      </c>
      <c r="I14" s="3014"/>
      <c r="J14" s="219">
        <f t="shared" si="0"/>
        <v>96</v>
      </c>
      <c r="K14" s="219">
        <f t="shared" si="1"/>
        <v>96</v>
      </c>
      <c r="L14" s="219">
        <f t="shared" si="1"/>
        <v>96</v>
      </c>
      <c r="M14" s="219">
        <f t="shared" si="1"/>
        <v>96</v>
      </c>
      <c r="N14" s="219">
        <f t="shared" si="1"/>
        <v>96</v>
      </c>
    </row>
    <row r="15" spans="1:18" s="661" customFormat="1" ht="25.5">
      <c r="A15" s="3009"/>
      <c r="B15" s="837" t="s">
        <v>4124</v>
      </c>
      <c r="C15" s="3010"/>
      <c r="D15" s="103" t="s">
        <v>4448</v>
      </c>
      <c r="E15" s="103">
        <v>100</v>
      </c>
      <c r="F15" s="103">
        <v>6</v>
      </c>
      <c r="G15" s="3025"/>
      <c r="H15" s="839">
        <v>1.1000000000000001</v>
      </c>
      <c r="I15" s="3014"/>
      <c r="J15" s="219">
        <f t="shared" si="0"/>
        <v>96</v>
      </c>
      <c r="K15" s="219">
        <f t="shared" ref="K15:N17" si="2">96*Belarus</f>
        <v>96</v>
      </c>
      <c r="L15" s="219">
        <f t="shared" si="2"/>
        <v>96</v>
      </c>
      <c r="M15" s="219">
        <f t="shared" si="2"/>
        <v>96</v>
      </c>
      <c r="N15" s="219">
        <f t="shared" si="2"/>
        <v>96</v>
      </c>
    </row>
    <row r="16" spans="1:18" s="661" customFormat="1" ht="25.5">
      <c r="A16" s="3009"/>
      <c r="B16" s="837" t="s">
        <v>4125</v>
      </c>
      <c r="C16" s="3010"/>
      <c r="D16" s="103" t="s">
        <v>3526</v>
      </c>
      <c r="E16" s="103" t="s">
        <v>4449</v>
      </c>
      <c r="F16" s="103"/>
      <c r="G16" s="3025"/>
      <c r="H16" s="839">
        <v>0.93</v>
      </c>
      <c r="I16" s="3014"/>
      <c r="J16" s="219">
        <f t="shared" si="0"/>
        <v>96</v>
      </c>
      <c r="K16" s="219">
        <f t="shared" si="2"/>
        <v>96</v>
      </c>
      <c r="L16" s="219">
        <f t="shared" si="2"/>
        <v>96</v>
      </c>
      <c r="M16" s="219">
        <f t="shared" si="2"/>
        <v>96</v>
      </c>
      <c r="N16" s="219">
        <f t="shared" si="2"/>
        <v>96</v>
      </c>
    </row>
    <row r="17" spans="1:14" s="661" customFormat="1" ht="25.5">
      <c r="A17" s="3005"/>
      <c r="B17" s="837" t="s">
        <v>4126</v>
      </c>
      <c r="C17" s="2995"/>
      <c r="D17" s="103" t="s">
        <v>3527</v>
      </c>
      <c r="E17" s="103" t="s">
        <v>4450</v>
      </c>
      <c r="F17" s="103"/>
      <c r="G17" s="3026"/>
      <c r="H17" s="839">
        <v>0.83</v>
      </c>
      <c r="I17" s="3015"/>
      <c r="J17" s="219">
        <f t="shared" si="0"/>
        <v>96</v>
      </c>
      <c r="K17" s="219">
        <f t="shared" si="2"/>
        <v>96</v>
      </c>
      <c r="L17" s="219">
        <f t="shared" si="2"/>
        <v>96</v>
      </c>
      <c r="M17" s="219">
        <f t="shared" si="2"/>
        <v>96</v>
      </c>
      <c r="N17" s="219">
        <f t="shared" si="2"/>
        <v>96</v>
      </c>
    </row>
    <row r="18" spans="1:14" s="661" customFormat="1" ht="15">
      <c r="A18" s="3004" t="s">
        <v>3529</v>
      </c>
      <c r="B18" s="841" t="s">
        <v>4127</v>
      </c>
      <c r="C18" s="2994" t="s">
        <v>4128</v>
      </c>
      <c r="D18" s="103" t="s">
        <v>3525</v>
      </c>
      <c r="E18" s="103">
        <v>200</v>
      </c>
      <c r="F18" s="103">
        <v>1</v>
      </c>
      <c r="G18" s="3024">
        <v>8</v>
      </c>
      <c r="H18" s="3022">
        <v>1.21</v>
      </c>
      <c r="I18" s="3013" t="s">
        <v>4114</v>
      </c>
      <c r="J18" s="282">
        <f>300*Belarus</f>
        <v>300</v>
      </c>
      <c r="K18" s="282">
        <f>300*Belarus</f>
        <v>300</v>
      </c>
      <c r="L18" s="282">
        <f>300*Belarus</f>
        <v>300</v>
      </c>
      <c r="M18" s="282">
        <f>300*Belarus</f>
        <v>300</v>
      </c>
      <c r="N18" s="282">
        <f>300*Belarus</f>
        <v>300</v>
      </c>
    </row>
    <row r="19" spans="1:14" s="661" customFormat="1" ht="25.5">
      <c r="A19" s="3009"/>
      <c r="B19" s="841" t="s">
        <v>4129</v>
      </c>
      <c r="C19" s="3010"/>
      <c r="D19" s="103" t="s">
        <v>4447</v>
      </c>
      <c r="E19" s="103">
        <v>100</v>
      </c>
      <c r="F19" s="103">
        <v>10</v>
      </c>
      <c r="G19" s="3025"/>
      <c r="H19" s="3023"/>
      <c r="I19" s="3014"/>
      <c r="J19" s="282" t="s">
        <v>369</v>
      </c>
      <c r="K19" s="282">
        <f>300*Belarus</f>
        <v>300</v>
      </c>
      <c r="L19" s="282" t="s">
        <v>369</v>
      </c>
      <c r="M19" s="282">
        <f>300*Belarus</f>
        <v>300</v>
      </c>
      <c r="N19" s="282" t="s">
        <v>369</v>
      </c>
    </row>
    <row r="20" spans="1:14" s="661" customFormat="1" ht="15">
      <c r="A20" s="3005"/>
      <c r="B20" s="841" t="s">
        <v>4130</v>
      </c>
      <c r="C20" s="2995"/>
      <c r="D20" s="506" t="s">
        <v>3528</v>
      </c>
      <c r="E20" s="506">
        <v>100</v>
      </c>
      <c r="F20" s="506">
        <v>1</v>
      </c>
      <c r="G20" s="3026"/>
      <c r="H20" s="839">
        <v>1.1000000000000001</v>
      </c>
      <c r="I20" s="3015"/>
      <c r="J20" s="282">
        <f>300*Belarus</f>
        <v>300</v>
      </c>
      <c r="K20" s="282">
        <f>300*Belarus</f>
        <v>300</v>
      </c>
      <c r="L20" s="282">
        <f>300*Belarus</f>
        <v>300</v>
      </c>
      <c r="M20" s="282">
        <f>300*Belarus</f>
        <v>300</v>
      </c>
      <c r="N20" s="282">
        <f>300*Belarus</f>
        <v>300</v>
      </c>
    </row>
    <row r="21" spans="1:14" s="661" customFormat="1">
      <c r="A21" s="843" t="s">
        <v>4131</v>
      </c>
      <c r="B21" s="247"/>
      <c r="C21" s="107"/>
      <c r="D21" s="247"/>
      <c r="E21" s="247"/>
      <c r="F21" s="247"/>
      <c r="G21" s="107"/>
      <c r="H21" s="844"/>
      <c r="I21" s="107"/>
      <c r="J21" s="107"/>
      <c r="K21" s="153"/>
      <c r="L21" s="153"/>
      <c r="M21" s="153"/>
      <c r="N21" s="153"/>
    </row>
    <row r="22" spans="1:14" s="661" customFormat="1" ht="15">
      <c r="A22" s="3016" t="s">
        <v>3529</v>
      </c>
      <c r="B22" s="841" t="s">
        <v>4132</v>
      </c>
      <c r="C22" s="2994" t="s">
        <v>4128</v>
      </c>
      <c r="D22" s="379" t="s">
        <v>4133</v>
      </c>
      <c r="E22" s="2146" t="s">
        <v>4451</v>
      </c>
      <c r="F22" s="379">
        <v>10</v>
      </c>
      <c r="G22" s="3013">
        <v>6.05</v>
      </c>
      <c r="H22" s="3013" t="s">
        <v>4134</v>
      </c>
      <c r="I22" s="3013" t="s">
        <v>4114</v>
      </c>
      <c r="J22" s="2890">
        <f>396*Belarus</f>
        <v>396</v>
      </c>
      <c r="K22" s="282">
        <f>396*Belarus</f>
        <v>396</v>
      </c>
      <c r="L22" s="2890">
        <f>396*Belarus</f>
        <v>396</v>
      </c>
      <c r="M22" s="2890">
        <f>396*Belarus</f>
        <v>396</v>
      </c>
      <c r="N22" s="2890">
        <f>396*Belarus</f>
        <v>396</v>
      </c>
    </row>
    <row r="23" spans="1:14" s="661" customFormat="1" ht="38.25">
      <c r="A23" s="3016"/>
      <c r="B23" s="841" t="s">
        <v>4135</v>
      </c>
      <c r="C23" s="3010"/>
      <c r="D23" s="630" t="s">
        <v>6653</v>
      </c>
      <c r="E23" s="2147"/>
      <c r="F23" s="379"/>
      <c r="G23" s="3014"/>
      <c r="H23" s="3014"/>
      <c r="I23" s="3014"/>
      <c r="J23" s="3008"/>
      <c r="K23" s="282" t="s">
        <v>369</v>
      </c>
      <c r="L23" s="3008"/>
      <c r="M23" s="3008"/>
      <c r="N23" s="3008"/>
    </row>
    <row r="24" spans="1:14" s="661" customFormat="1" ht="15">
      <c r="A24" s="3016"/>
      <c r="B24" s="841" t="s">
        <v>4136</v>
      </c>
      <c r="C24" s="3010"/>
      <c r="D24" s="379" t="s">
        <v>4133</v>
      </c>
      <c r="E24" s="379">
        <v>200</v>
      </c>
      <c r="F24" s="379"/>
      <c r="G24" s="3014"/>
      <c r="H24" s="3014"/>
      <c r="I24" s="3014"/>
      <c r="J24" s="2891"/>
      <c r="K24" s="282">
        <f>396*Belarus</f>
        <v>396</v>
      </c>
      <c r="L24" s="2891"/>
      <c r="M24" s="2891"/>
      <c r="N24" s="2891"/>
    </row>
    <row r="25" spans="1:14" s="661" customFormat="1" ht="15">
      <c r="A25" s="3016"/>
      <c r="B25" s="841" t="s">
        <v>4137</v>
      </c>
      <c r="C25" s="2995"/>
      <c r="D25" s="379" t="s">
        <v>3531</v>
      </c>
      <c r="E25" s="379">
        <v>1500</v>
      </c>
      <c r="F25" s="379"/>
      <c r="G25" s="3015"/>
      <c r="H25" s="3015"/>
      <c r="I25" s="3015"/>
      <c r="J25" s="282">
        <f>384*Belarus</f>
        <v>384</v>
      </c>
      <c r="K25" s="282">
        <f>384*Belarus</f>
        <v>384</v>
      </c>
      <c r="L25" s="282">
        <f>384*Belarus</f>
        <v>384</v>
      </c>
      <c r="M25" s="282">
        <f>384*Belarus</f>
        <v>384</v>
      </c>
      <c r="N25" s="282">
        <f>384*Belarus</f>
        <v>384</v>
      </c>
    </row>
    <row r="26" spans="1:14" s="661" customFormat="1" ht="15">
      <c r="A26" s="3016" t="s">
        <v>4138</v>
      </c>
      <c r="B26" s="841" t="s">
        <v>4139</v>
      </c>
      <c r="C26" s="2994" t="s">
        <v>4140</v>
      </c>
      <c r="D26" s="845" t="s">
        <v>4141</v>
      </c>
      <c r="E26" s="845" t="s">
        <v>4452</v>
      </c>
      <c r="F26" s="845"/>
      <c r="G26" s="3013" t="s">
        <v>369</v>
      </c>
      <c r="H26" s="3013" t="s">
        <v>4142</v>
      </c>
      <c r="I26" s="1765" t="s">
        <v>640</v>
      </c>
      <c r="J26" s="282">
        <f>150*Belarus</f>
        <v>150</v>
      </c>
      <c r="K26" s="282">
        <f>150*Belarus</f>
        <v>150</v>
      </c>
      <c r="L26" s="282">
        <f>150*Belarus</f>
        <v>150</v>
      </c>
      <c r="M26" s="282">
        <f>150*Belarus</f>
        <v>150</v>
      </c>
      <c r="N26" s="282">
        <f>40*Belarus</f>
        <v>40</v>
      </c>
    </row>
    <row r="27" spans="1:14" s="661" customFormat="1" ht="15">
      <c r="A27" s="3016"/>
      <c r="B27" s="841" t="s">
        <v>4143</v>
      </c>
      <c r="C27" s="3010"/>
      <c r="D27" s="379" t="s">
        <v>3531</v>
      </c>
      <c r="E27" s="379">
        <v>11</v>
      </c>
      <c r="F27" s="379"/>
      <c r="G27" s="3014"/>
      <c r="H27" s="3014"/>
      <c r="I27" s="1455"/>
      <c r="J27" s="282">
        <f>120*Belarus</f>
        <v>120</v>
      </c>
      <c r="K27" s="282">
        <f t="shared" ref="K27:N29" si="3">120*Belarus</f>
        <v>120</v>
      </c>
      <c r="L27" s="282">
        <f t="shared" si="3"/>
        <v>120</v>
      </c>
      <c r="M27" s="282">
        <f t="shared" si="3"/>
        <v>120</v>
      </c>
      <c r="N27" s="282">
        <f t="shared" si="3"/>
        <v>120</v>
      </c>
    </row>
    <row r="28" spans="1:14" s="661" customFormat="1" ht="15">
      <c r="A28" s="3016"/>
      <c r="B28" s="1150" t="s">
        <v>4144</v>
      </c>
      <c r="C28" s="3010"/>
      <c r="D28" s="379" t="s">
        <v>3530</v>
      </c>
      <c r="E28" s="379">
        <v>1</v>
      </c>
      <c r="F28" s="379"/>
      <c r="G28" s="3014"/>
      <c r="H28" s="3014"/>
      <c r="I28" s="1455"/>
      <c r="J28" s="282">
        <f>120*Belarus</f>
        <v>120</v>
      </c>
      <c r="K28" s="282">
        <f t="shared" si="3"/>
        <v>120</v>
      </c>
      <c r="L28" s="282">
        <f t="shared" si="3"/>
        <v>120</v>
      </c>
      <c r="M28" s="282">
        <f t="shared" si="3"/>
        <v>120</v>
      </c>
      <c r="N28" s="282">
        <f t="shared" si="3"/>
        <v>120</v>
      </c>
    </row>
    <row r="29" spans="1:14" s="661" customFormat="1" ht="15">
      <c r="A29" s="3016"/>
      <c r="B29" s="1150" t="s">
        <v>4145</v>
      </c>
      <c r="C29" s="3010"/>
      <c r="D29" s="379" t="s">
        <v>3530</v>
      </c>
      <c r="E29" s="379">
        <v>1</v>
      </c>
      <c r="F29" s="379"/>
      <c r="G29" s="3014"/>
      <c r="H29" s="3014"/>
      <c r="I29" s="1455"/>
      <c r="J29" s="282">
        <f>120*Belarus</f>
        <v>120</v>
      </c>
      <c r="K29" s="282" t="s">
        <v>369</v>
      </c>
      <c r="L29" s="282">
        <f t="shared" si="3"/>
        <v>120</v>
      </c>
      <c r="M29" s="282">
        <f t="shared" si="3"/>
        <v>120</v>
      </c>
      <c r="N29" s="282">
        <f t="shared" si="3"/>
        <v>120</v>
      </c>
    </row>
    <row r="30" spans="1:14" s="661" customFormat="1" ht="15">
      <c r="A30" s="3017" t="s">
        <v>4146</v>
      </c>
      <c r="B30" s="841" t="s">
        <v>4147</v>
      </c>
      <c r="C30" s="2994" t="s">
        <v>4148</v>
      </c>
      <c r="D30" s="835" t="s">
        <v>3530</v>
      </c>
      <c r="E30" s="835">
        <v>1</v>
      </c>
      <c r="F30" s="835"/>
      <c r="G30" s="3020" t="s">
        <v>369</v>
      </c>
      <c r="H30" s="3022">
        <v>1</v>
      </c>
      <c r="I30" s="1765" t="s">
        <v>640</v>
      </c>
      <c r="J30" s="282">
        <f>384*Belarus</f>
        <v>384</v>
      </c>
      <c r="K30" s="282">
        <f t="shared" ref="K30:N31" si="4">384*Belarus</f>
        <v>384</v>
      </c>
      <c r="L30" s="282">
        <f t="shared" si="4"/>
        <v>384</v>
      </c>
      <c r="M30" s="282">
        <f t="shared" si="4"/>
        <v>384</v>
      </c>
      <c r="N30" s="282">
        <f t="shared" si="4"/>
        <v>384</v>
      </c>
    </row>
    <row r="31" spans="1:14" s="661" customFormat="1" ht="15">
      <c r="A31" s="3018"/>
      <c r="B31" s="841" t="s">
        <v>4149</v>
      </c>
      <c r="C31" s="2995"/>
      <c r="D31" s="379" t="s">
        <v>3531</v>
      </c>
      <c r="E31" s="379"/>
      <c r="F31" s="379"/>
      <c r="G31" s="3021"/>
      <c r="H31" s="3023"/>
      <c r="I31" s="1456"/>
      <c r="J31" s="282">
        <f>384*Belarus</f>
        <v>384</v>
      </c>
      <c r="K31" s="282">
        <f t="shared" si="4"/>
        <v>384</v>
      </c>
      <c r="L31" s="282">
        <f t="shared" si="4"/>
        <v>384</v>
      </c>
      <c r="M31" s="282">
        <f t="shared" si="4"/>
        <v>384</v>
      </c>
      <c r="N31" s="282">
        <f t="shared" si="4"/>
        <v>384</v>
      </c>
    </row>
    <row r="32" spans="1:14" s="661" customFormat="1" ht="15">
      <c r="A32" s="3019"/>
      <c r="B32" s="841" t="s">
        <v>4150</v>
      </c>
      <c r="C32" s="846" t="s">
        <v>4151</v>
      </c>
      <c r="D32" s="835" t="s">
        <v>3530</v>
      </c>
      <c r="E32" s="835">
        <v>6</v>
      </c>
      <c r="F32" s="835">
        <v>4</v>
      </c>
      <c r="G32" s="847" t="s">
        <v>369</v>
      </c>
      <c r="H32" s="842">
        <v>1.35</v>
      </c>
      <c r="I32" s="81" t="s">
        <v>640</v>
      </c>
      <c r="J32" s="282" t="s">
        <v>369</v>
      </c>
      <c r="K32" s="282" t="s">
        <v>369</v>
      </c>
      <c r="L32" s="282" t="s">
        <v>369</v>
      </c>
      <c r="M32" s="282">
        <f>333*Belarus</f>
        <v>333</v>
      </c>
      <c r="N32" s="282" t="s">
        <v>369</v>
      </c>
    </row>
    <row r="33" spans="1:14" s="661" customFormat="1">
      <c r="A33" s="843" t="s">
        <v>4453</v>
      </c>
      <c r="B33" s="247"/>
      <c r="C33" s="107"/>
      <c r="D33" s="247"/>
      <c r="E33" s="247"/>
      <c r="F33" s="247"/>
      <c r="G33" s="107"/>
      <c r="H33" s="107"/>
      <c r="I33" s="107"/>
      <c r="J33" s="107"/>
      <c r="K33" s="107"/>
      <c r="L33" s="107"/>
      <c r="M33" s="107"/>
      <c r="N33" s="107"/>
    </row>
    <row r="34" spans="1:14" s="661" customFormat="1" ht="15">
      <c r="A34" s="833" t="s">
        <v>3519</v>
      </c>
      <c r="B34" s="834" t="s">
        <v>4152</v>
      </c>
      <c r="C34" s="2994" t="s">
        <v>4153</v>
      </c>
      <c r="D34" s="103" t="s">
        <v>3520</v>
      </c>
      <c r="E34" s="103">
        <v>10</v>
      </c>
      <c r="F34" s="103">
        <v>1</v>
      </c>
      <c r="G34" s="2996">
        <v>9</v>
      </c>
      <c r="H34" s="3013">
        <v>0.78</v>
      </c>
      <c r="I34" s="1765" t="s">
        <v>4114</v>
      </c>
      <c r="J34" s="282">
        <f>256*Belarus</f>
        <v>256</v>
      </c>
      <c r="K34" s="282">
        <f>256*Belarus</f>
        <v>256</v>
      </c>
      <c r="L34" s="282">
        <f>256*Belarus</f>
        <v>256</v>
      </c>
      <c r="M34" s="282">
        <f>256*Belarus</f>
        <v>256</v>
      </c>
      <c r="N34" s="282">
        <f>256*Belarus</f>
        <v>256</v>
      </c>
    </row>
    <row r="35" spans="1:14" s="661" customFormat="1" ht="15">
      <c r="A35" s="620" t="s">
        <v>3521</v>
      </c>
      <c r="B35" s="834" t="s">
        <v>4154</v>
      </c>
      <c r="C35" s="2995"/>
      <c r="D35" s="103" t="s">
        <v>3522</v>
      </c>
      <c r="E35" s="103">
        <v>10</v>
      </c>
      <c r="F35" s="103">
        <v>1</v>
      </c>
      <c r="G35" s="3011"/>
      <c r="H35" s="3014"/>
      <c r="I35" s="1455"/>
      <c r="J35" s="282">
        <f>249*Belarus</f>
        <v>249</v>
      </c>
      <c r="K35" s="282">
        <f>249*Belarus</f>
        <v>249</v>
      </c>
      <c r="L35" s="282">
        <f>249*Belarus</f>
        <v>249</v>
      </c>
      <c r="M35" s="282">
        <f>249*Belarus</f>
        <v>249</v>
      </c>
      <c r="N35" s="282">
        <f>249*Belarus</f>
        <v>249</v>
      </c>
    </row>
    <row r="36" spans="1:14" s="661" customFormat="1" ht="30.75" customHeight="1">
      <c r="A36" s="833" t="s">
        <v>3523</v>
      </c>
      <c r="B36" s="834" t="s">
        <v>4155</v>
      </c>
      <c r="C36" s="2994" t="s">
        <v>4156</v>
      </c>
      <c r="D36" s="103" t="s">
        <v>3520</v>
      </c>
      <c r="E36" s="103" t="s">
        <v>4454</v>
      </c>
      <c r="F36" s="1765" t="s">
        <v>4455</v>
      </c>
      <c r="G36" s="3011"/>
      <c r="H36" s="3014"/>
      <c r="I36" s="1455"/>
      <c r="J36" s="282">
        <f>576*Belarus</f>
        <v>576</v>
      </c>
      <c r="K36" s="282">
        <f>576*Belarus</f>
        <v>576</v>
      </c>
      <c r="L36" s="282">
        <f>576*Belarus</f>
        <v>576</v>
      </c>
      <c r="M36" s="282">
        <f>576*Belarus</f>
        <v>576</v>
      </c>
      <c r="N36" s="282">
        <f>576*Belarus</f>
        <v>576</v>
      </c>
    </row>
    <row r="37" spans="1:14" s="661" customFormat="1" ht="15">
      <c r="A37" s="823" t="s">
        <v>3524</v>
      </c>
      <c r="B37" s="834" t="s">
        <v>4157</v>
      </c>
      <c r="C37" s="2995"/>
      <c r="D37" s="103" t="s">
        <v>3522</v>
      </c>
      <c r="E37" s="103">
        <v>54</v>
      </c>
      <c r="F37" s="1456"/>
      <c r="G37" s="2997"/>
      <c r="H37" s="3015"/>
      <c r="I37" s="1456"/>
      <c r="J37" s="282">
        <f>559*Belarus</f>
        <v>559</v>
      </c>
      <c r="K37" s="282">
        <f>559*Belarus</f>
        <v>559</v>
      </c>
      <c r="L37" s="282">
        <f>559*Belarus</f>
        <v>559</v>
      </c>
      <c r="M37" s="282">
        <f>559*Belarus</f>
        <v>559</v>
      </c>
      <c r="N37" s="282">
        <f>559*Belarus</f>
        <v>559</v>
      </c>
    </row>
    <row r="38" spans="1:14" s="661" customFormat="1" ht="15" customHeight="1">
      <c r="A38" s="1296" t="s">
        <v>4228</v>
      </c>
      <c r="B38" s="1296"/>
      <c r="C38" s="1296"/>
      <c r="D38" s="288"/>
      <c r="E38" s="288"/>
      <c r="F38" s="288"/>
      <c r="G38" s="288"/>
      <c r="H38" s="288"/>
      <c r="I38" s="81" t="s">
        <v>628</v>
      </c>
      <c r="J38" s="282">
        <f>18*Belarus</f>
        <v>18</v>
      </c>
      <c r="K38" s="282" t="s">
        <v>369</v>
      </c>
      <c r="L38" s="282" t="s">
        <v>369</v>
      </c>
      <c r="M38" s="282" t="s">
        <v>369</v>
      </c>
      <c r="N38" s="282" t="s">
        <v>369</v>
      </c>
    </row>
    <row r="39" spans="1:14" s="661" customFormat="1">
      <c r="A39" s="843" t="s">
        <v>4158</v>
      </c>
      <c r="B39" s="247"/>
      <c r="C39" s="107"/>
      <c r="D39" s="247"/>
      <c r="E39" s="247"/>
      <c r="F39" s="247"/>
      <c r="G39" s="107"/>
      <c r="H39" s="107"/>
      <c r="I39" s="107"/>
      <c r="J39" s="107"/>
      <c r="K39" s="107"/>
      <c r="L39" s="107"/>
      <c r="M39" s="107"/>
      <c r="N39" s="107"/>
    </row>
    <row r="40" spans="1:14" s="661" customFormat="1" ht="25.5">
      <c r="A40" s="833" t="s">
        <v>4159</v>
      </c>
      <c r="B40" s="841" t="s">
        <v>3534</v>
      </c>
      <c r="C40" s="925" t="s">
        <v>3532</v>
      </c>
      <c r="D40" s="506" t="s">
        <v>4160</v>
      </c>
      <c r="E40" s="379" t="s">
        <v>4456</v>
      </c>
      <c r="F40" s="506">
        <v>1</v>
      </c>
      <c r="G40" s="840">
        <v>6</v>
      </c>
      <c r="H40" s="845" t="s">
        <v>369</v>
      </c>
      <c r="I40" s="103" t="s">
        <v>4114</v>
      </c>
      <c r="J40" s="282">
        <f>156*Belarus</f>
        <v>156</v>
      </c>
      <c r="K40" s="282">
        <f>156*Belarus</f>
        <v>156</v>
      </c>
      <c r="L40" s="282">
        <f>156*Belarus</f>
        <v>156</v>
      </c>
      <c r="M40" s="282">
        <f>156*Belarus</f>
        <v>156</v>
      </c>
      <c r="N40" s="282">
        <f>156*Belarus</f>
        <v>156</v>
      </c>
    </row>
    <row r="41" spans="1:14" s="661" customFormat="1" ht="15">
      <c r="A41" s="3004" t="s">
        <v>3529</v>
      </c>
      <c r="B41" s="841" t="s">
        <v>4161</v>
      </c>
      <c r="C41" s="2994" t="s">
        <v>4162</v>
      </c>
      <c r="D41" s="506" t="s">
        <v>4163</v>
      </c>
      <c r="E41" s="506">
        <v>272</v>
      </c>
      <c r="F41" s="506">
        <v>90</v>
      </c>
      <c r="G41" s="2996">
        <v>6</v>
      </c>
      <c r="H41" s="3006" t="s">
        <v>369</v>
      </c>
      <c r="I41" s="1765" t="s">
        <v>4114</v>
      </c>
      <c r="J41" s="2890">
        <f>708*Belarus</f>
        <v>708</v>
      </c>
      <c r="K41" s="2890">
        <f>708*Belarus</f>
        <v>708</v>
      </c>
      <c r="L41" s="2890">
        <f>708*Belarus</f>
        <v>708</v>
      </c>
      <c r="M41" s="2890">
        <f>708*Belarus</f>
        <v>708</v>
      </c>
      <c r="N41" s="2890">
        <f>450*Belarus</f>
        <v>450</v>
      </c>
    </row>
    <row r="42" spans="1:14" s="661" customFormat="1" ht="15">
      <c r="A42" s="3009"/>
      <c r="B42" s="841" t="s">
        <v>4164</v>
      </c>
      <c r="C42" s="3010"/>
      <c r="D42" s="506" t="s">
        <v>4165</v>
      </c>
      <c r="E42" s="506">
        <v>144</v>
      </c>
      <c r="F42" s="506">
        <v>72</v>
      </c>
      <c r="G42" s="3011"/>
      <c r="H42" s="3012"/>
      <c r="I42" s="1455"/>
      <c r="J42" s="3008"/>
      <c r="K42" s="3008"/>
      <c r="L42" s="3008"/>
      <c r="M42" s="3008"/>
      <c r="N42" s="3008"/>
    </row>
    <row r="43" spans="1:14" s="661" customFormat="1" ht="15">
      <c r="A43" s="3009"/>
      <c r="B43" s="841" t="s">
        <v>4166</v>
      </c>
      <c r="C43" s="3010"/>
      <c r="D43" s="506" t="s">
        <v>4167</v>
      </c>
      <c r="E43" s="506"/>
      <c r="F43" s="506">
        <v>60</v>
      </c>
      <c r="G43" s="3011"/>
      <c r="H43" s="3012"/>
      <c r="I43" s="1455"/>
      <c r="J43" s="3008"/>
      <c r="K43" s="3008"/>
      <c r="L43" s="3008"/>
      <c r="M43" s="3008"/>
      <c r="N43" s="3008"/>
    </row>
    <row r="44" spans="1:14" s="661" customFormat="1" ht="15">
      <c r="A44" s="3005"/>
      <c r="B44" s="841" t="s">
        <v>4168</v>
      </c>
      <c r="C44" s="2995"/>
      <c r="D44" s="506" t="s">
        <v>4169</v>
      </c>
      <c r="E44" s="506">
        <v>272</v>
      </c>
      <c r="F44" s="506">
        <v>90</v>
      </c>
      <c r="G44" s="2997"/>
      <c r="H44" s="3007"/>
      <c r="I44" s="1456"/>
      <c r="J44" s="2891"/>
      <c r="K44" s="2891"/>
      <c r="L44" s="2891"/>
      <c r="M44" s="2891"/>
      <c r="N44" s="2891"/>
    </row>
    <row r="45" spans="1:14" s="661" customFormat="1" ht="20.25" customHeight="1">
      <c r="A45" s="3004" t="s">
        <v>4170</v>
      </c>
      <c r="B45" s="841" t="s">
        <v>4457</v>
      </c>
      <c r="C45" s="2994" t="s">
        <v>4171</v>
      </c>
      <c r="D45" s="506" t="s">
        <v>4172</v>
      </c>
      <c r="E45" s="379" t="s">
        <v>4458</v>
      </c>
      <c r="F45" s="506" t="s">
        <v>4459</v>
      </c>
      <c r="G45" s="2996">
        <v>6</v>
      </c>
      <c r="H45" s="3006" t="s">
        <v>369</v>
      </c>
      <c r="I45" s="1765" t="s">
        <v>4114</v>
      </c>
      <c r="J45" s="2890">
        <f>852*Belarus</f>
        <v>852</v>
      </c>
      <c r="K45" s="2890">
        <f>852*Belarus</f>
        <v>852</v>
      </c>
      <c r="L45" s="2890">
        <f>852*Belarus</f>
        <v>852</v>
      </c>
      <c r="M45" s="2890">
        <f>852*Belarus</f>
        <v>852</v>
      </c>
      <c r="N45" s="2890" t="s">
        <v>369</v>
      </c>
    </row>
    <row r="46" spans="1:14" s="661" customFormat="1">
      <c r="A46" s="3005"/>
      <c r="B46" s="123" t="s">
        <v>4173</v>
      </c>
      <c r="C46" s="2995"/>
      <c r="D46" s="506" t="s">
        <v>4169</v>
      </c>
      <c r="E46" s="506">
        <v>360</v>
      </c>
      <c r="F46" s="506">
        <v>350</v>
      </c>
      <c r="G46" s="2997"/>
      <c r="H46" s="3007"/>
      <c r="I46" s="1456"/>
      <c r="J46" s="2891"/>
      <c r="K46" s="2891"/>
      <c r="L46" s="2891"/>
      <c r="M46" s="2891"/>
      <c r="N46" s="2891"/>
    </row>
    <row r="47" spans="1:14" s="661" customFormat="1">
      <c r="A47" s="1365" t="s">
        <v>4229</v>
      </c>
      <c r="B47" s="1366"/>
      <c r="C47" s="1366"/>
      <c r="D47" s="288"/>
      <c r="E47" s="288"/>
      <c r="F47" s="288"/>
      <c r="G47" s="288"/>
      <c r="H47" s="288"/>
      <c r="I47" s="81" t="s">
        <v>628</v>
      </c>
      <c r="J47" s="282">
        <f>11*Belarus</f>
        <v>11</v>
      </c>
      <c r="K47" s="282" t="s">
        <v>369</v>
      </c>
      <c r="L47" s="282" t="s">
        <v>369</v>
      </c>
      <c r="M47" s="282" t="s">
        <v>369</v>
      </c>
      <c r="N47" s="282" t="s">
        <v>369</v>
      </c>
    </row>
    <row r="48" spans="1:14" s="661" customFormat="1">
      <c r="A48" s="843" t="s">
        <v>3539</v>
      </c>
      <c r="B48" s="247"/>
      <c r="C48" s="107"/>
      <c r="D48" s="1149"/>
      <c r="E48" s="247"/>
      <c r="F48" s="247"/>
      <c r="G48" s="107"/>
      <c r="H48" s="107"/>
      <c r="I48" s="107"/>
      <c r="J48" s="107"/>
      <c r="K48" s="107"/>
      <c r="L48" s="107"/>
      <c r="M48" s="107"/>
      <c r="N48" s="107"/>
    </row>
    <row r="49" spans="1:14" s="661" customFormat="1">
      <c r="A49" s="833" t="s">
        <v>3540</v>
      </c>
      <c r="B49" s="836" t="s">
        <v>3540</v>
      </c>
      <c r="C49" s="927" t="s">
        <v>4128</v>
      </c>
      <c r="D49" s="506" t="s">
        <v>369</v>
      </c>
      <c r="E49" s="3002" t="s">
        <v>4460</v>
      </c>
      <c r="F49" s="3003"/>
      <c r="G49" s="848">
        <v>3</v>
      </c>
      <c r="H49" s="838">
        <v>1.26</v>
      </c>
      <c r="I49" s="64" t="s">
        <v>369</v>
      </c>
      <c r="J49" s="1468" t="s">
        <v>3533</v>
      </c>
      <c r="K49" s="1469"/>
      <c r="L49" s="1469"/>
      <c r="M49" s="1469"/>
      <c r="N49" s="1527"/>
    </row>
    <row r="50" spans="1:14" s="661" customFormat="1" ht="25.5">
      <c r="A50" s="833" t="s">
        <v>3537</v>
      </c>
      <c r="B50" s="836" t="s">
        <v>3537</v>
      </c>
      <c r="C50" s="837" t="s">
        <v>3538</v>
      </c>
      <c r="D50" s="379" t="s">
        <v>4461</v>
      </c>
      <c r="E50" s="379" t="s">
        <v>4462</v>
      </c>
      <c r="F50" s="506"/>
      <c r="G50" s="848">
        <v>3</v>
      </c>
      <c r="H50" s="101" t="s">
        <v>369</v>
      </c>
      <c r="I50" s="103" t="s">
        <v>369</v>
      </c>
      <c r="J50" s="1583"/>
      <c r="K50" s="1802"/>
      <c r="L50" s="1802"/>
      <c r="M50" s="1802"/>
      <c r="N50" s="1584"/>
    </row>
    <row r="51" spans="1:14" s="661" customFormat="1">
      <c r="A51" s="843" t="s">
        <v>4174</v>
      </c>
      <c r="B51" s="247"/>
      <c r="C51" s="107"/>
      <c r="D51" s="1149"/>
      <c r="E51" s="247"/>
      <c r="F51" s="247"/>
      <c r="G51" s="107"/>
      <c r="H51" s="107"/>
      <c r="I51" s="107"/>
      <c r="J51" s="107"/>
      <c r="K51" s="107"/>
      <c r="L51" s="107"/>
      <c r="M51" s="107"/>
      <c r="N51" s="107"/>
    </row>
    <row r="52" spans="1:14" s="661" customFormat="1" ht="25.5">
      <c r="A52" s="849" t="s">
        <v>3529</v>
      </c>
      <c r="B52" s="836" t="s">
        <v>4175</v>
      </c>
      <c r="C52" s="928" t="s">
        <v>4176</v>
      </c>
      <c r="D52" s="7" t="s">
        <v>369</v>
      </c>
      <c r="E52" s="506">
        <v>144</v>
      </c>
      <c r="F52" s="506">
        <v>72</v>
      </c>
      <c r="G52" s="850">
        <v>6</v>
      </c>
      <c r="H52" s="851" t="s">
        <v>369</v>
      </c>
      <c r="I52" s="64" t="s">
        <v>369</v>
      </c>
      <c r="J52" s="1468" t="s">
        <v>3533</v>
      </c>
      <c r="K52" s="1469"/>
      <c r="L52" s="1469"/>
      <c r="M52" s="1469"/>
      <c r="N52" s="1527"/>
    </row>
    <row r="53" spans="1:14" s="661" customFormat="1" ht="25.5">
      <c r="A53" s="834" t="s">
        <v>4159</v>
      </c>
      <c r="B53" s="834" t="s">
        <v>4177</v>
      </c>
      <c r="C53" s="929" t="s">
        <v>4178</v>
      </c>
      <c r="D53" s="930" t="s">
        <v>369</v>
      </c>
      <c r="E53" s="506">
        <v>24</v>
      </c>
      <c r="F53" s="379" t="s">
        <v>4463</v>
      </c>
      <c r="G53" s="852" t="s">
        <v>369</v>
      </c>
      <c r="H53" s="853" t="s">
        <v>369</v>
      </c>
      <c r="I53" s="103" t="s">
        <v>369</v>
      </c>
      <c r="J53" s="1583"/>
      <c r="K53" s="1802"/>
      <c r="L53" s="1802"/>
      <c r="M53" s="1802"/>
      <c r="N53" s="1584"/>
    </row>
    <row r="54" spans="1:14" s="661" customFormat="1" ht="15" customHeight="1">
      <c r="A54" s="843" t="s">
        <v>4179</v>
      </c>
      <c r="B54" s="247"/>
      <c r="C54" s="107"/>
      <c r="D54" s="1149"/>
      <c r="E54" s="247"/>
      <c r="F54" s="247"/>
      <c r="G54" s="107"/>
      <c r="H54" s="107"/>
      <c r="I54" s="107"/>
      <c r="J54" s="107"/>
      <c r="K54" s="107"/>
      <c r="L54" s="107"/>
      <c r="M54" s="107"/>
      <c r="N54" s="107"/>
    </row>
    <row r="55" spans="1:14" s="661" customFormat="1" ht="25.5">
      <c r="A55" s="833" t="s">
        <v>3535</v>
      </c>
      <c r="B55" s="836" t="s">
        <v>4180</v>
      </c>
      <c r="C55" s="2994" t="s">
        <v>4181</v>
      </c>
      <c r="D55" s="3000" t="s">
        <v>4182</v>
      </c>
      <c r="E55" s="506">
        <v>1100</v>
      </c>
      <c r="F55" s="379" t="s">
        <v>4464</v>
      </c>
      <c r="G55" s="2996">
        <v>2</v>
      </c>
      <c r="H55" s="840">
        <v>1.2</v>
      </c>
      <c r="I55" s="1765" t="s">
        <v>369</v>
      </c>
      <c r="J55" s="1468" t="s">
        <v>3533</v>
      </c>
      <c r="K55" s="1469"/>
      <c r="L55" s="1469"/>
      <c r="M55" s="1469"/>
      <c r="N55" s="1527"/>
    </row>
    <row r="56" spans="1:14" s="661" customFormat="1" ht="25.5">
      <c r="A56" s="833" t="s">
        <v>3536</v>
      </c>
      <c r="B56" s="836" t="s">
        <v>4183</v>
      </c>
      <c r="C56" s="2995"/>
      <c r="D56" s="3001"/>
      <c r="E56" s="379" t="s">
        <v>4465</v>
      </c>
      <c r="F56" s="506">
        <v>50</v>
      </c>
      <c r="G56" s="2997"/>
      <c r="H56" s="835">
        <v>0.55000000000000004</v>
      </c>
      <c r="I56" s="1456"/>
      <c r="J56" s="1583"/>
      <c r="K56" s="1802"/>
      <c r="L56" s="1802"/>
      <c r="M56" s="1802"/>
      <c r="N56" s="1584"/>
    </row>
    <row r="57" spans="1:14" s="661" customFormat="1" ht="15" customHeight="1">
      <c r="A57" s="843" t="s">
        <v>3543</v>
      </c>
      <c r="B57" s="247"/>
      <c r="C57" s="107"/>
      <c r="D57" s="1149"/>
      <c r="E57" s="247"/>
      <c r="F57" s="247"/>
      <c r="G57" s="107"/>
      <c r="H57" s="107"/>
      <c r="I57" s="107"/>
      <c r="J57" s="107"/>
      <c r="K57" s="107"/>
      <c r="L57" s="107"/>
      <c r="M57" s="107"/>
      <c r="N57" s="107"/>
    </row>
    <row r="58" spans="1:14" s="661" customFormat="1">
      <c r="A58" s="2994" t="s">
        <v>4184</v>
      </c>
      <c r="B58" s="836" t="s">
        <v>4185</v>
      </c>
      <c r="C58" s="2994" t="s">
        <v>4181</v>
      </c>
      <c r="D58" s="7" t="s">
        <v>369</v>
      </c>
      <c r="E58" s="506">
        <v>500</v>
      </c>
      <c r="F58" s="506">
        <v>50</v>
      </c>
      <c r="G58" s="2996">
        <v>4</v>
      </c>
      <c r="H58" s="835">
        <v>1.06</v>
      </c>
      <c r="I58" s="103" t="s">
        <v>369</v>
      </c>
      <c r="J58" s="1468" t="s">
        <v>3533</v>
      </c>
      <c r="K58" s="1469"/>
      <c r="L58" s="1469"/>
      <c r="M58" s="1469"/>
      <c r="N58" s="1527"/>
    </row>
    <row r="59" spans="1:14" s="661" customFormat="1" ht="15">
      <c r="A59" s="2995"/>
      <c r="B59" s="834" t="s">
        <v>4186</v>
      </c>
      <c r="C59" s="2995"/>
      <c r="D59" s="708" t="s">
        <v>369</v>
      </c>
      <c r="E59" s="101">
        <v>500</v>
      </c>
      <c r="F59" s="101">
        <v>50</v>
      </c>
      <c r="G59" s="2997"/>
      <c r="H59" s="103">
        <v>0.55000000000000004</v>
      </c>
      <c r="I59" s="103" t="s">
        <v>369</v>
      </c>
      <c r="J59" s="1583"/>
      <c r="K59" s="1802"/>
      <c r="L59" s="1802"/>
      <c r="M59" s="1802"/>
      <c r="N59" s="1584"/>
    </row>
    <row r="60" spans="1:14">
      <c r="A60" s="923" t="s">
        <v>3541</v>
      </c>
      <c r="B60" s="923"/>
      <c r="C60" s="931"/>
      <c r="D60" s="923"/>
      <c r="E60" s="923"/>
      <c r="F60" s="923"/>
      <c r="G60" s="923"/>
      <c r="H60" s="923"/>
      <c r="I60" s="923"/>
      <c r="J60" s="923"/>
      <c r="K60" s="923"/>
      <c r="L60" s="923"/>
      <c r="M60" s="923"/>
      <c r="N60" s="923"/>
    </row>
    <row r="61" spans="1:14" ht="15" customHeight="1">
      <c r="A61" s="2998" t="s">
        <v>3542</v>
      </c>
      <c r="B61" s="288" t="s">
        <v>4187</v>
      </c>
      <c r="C61" s="279" t="s">
        <v>3538</v>
      </c>
      <c r="D61" s="103" t="s">
        <v>4466</v>
      </c>
      <c r="E61" s="103">
        <v>5</v>
      </c>
      <c r="F61" s="103">
        <v>1</v>
      </c>
      <c r="G61" s="101" t="s">
        <v>369</v>
      </c>
      <c r="H61" s="101" t="s">
        <v>369</v>
      </c>
      <c r="I61" s="101" t="s">
        <v>369</v>
      </c>
      <c r="J61" s="1530" t="s">
        <v>3533</v>
      </c>
      <c r="K61" s="1530"/>
      <c r="L61" s="1530"/>
      <c r="M61" s="1530"/>
      <c r="N61" s="1530"/>
    </row>
    <row r="62" spans="1:14">
      <c r="A62" s="2999"/>
      <c r="B62" s="288" t="s">
        <v>3542</v>
      </c>
      <c r="C62" s="279" t="s">
        <v>3538</v>
      </c>
      <c r="D62" s="103" t="s">
        <v>369</v>
      </c>
      <c r="E62" s="103"/>
      <c r="F62" s="103"/>
      <c r="G62" s="101" t="s">
        <v>369</v>
      </c>
      <c r="H62" s="101" t="s">
        <v>369</v>
      </c>
      <c r="I62" s="101" t="s">
        <v>369</v>
      </c>
      <c r="J62" s="1530" t="s">
        <v>3533</v>
      </c>
      <c r="K62" s="1530"/>
      <c r="L62" s="1530"/>
      <c r="M62" s="1530"/>
      <c r="N62" s="1530"/>
    </row>
    <row r="63" spans="1:14">
      <c r="A63" s="923" t="s">
        <v>4188</v>
      </c>
      <c r="B63" s="923"/>
      <c r="C63" s="931"/>
      <c r="D63" s="923"/>
      <c r="E63" s="923"/>
      <c r="F63" s="923"/>
      <c r="G63" s="923"/>
      <c r="H63" s="923"/>
      <c r="I63" s="923"/>
      <c r="J63" s="923"/>
      <c r="K63" s="923"/>
      <c r="L63" s="923"/>
      <c r="M63" s="923"/>
      <c r="N63" s="923"/>
    </row>
    <row r="64" spans="1:14" s="661" customFormat="1" ht="15">
      <c r="A64" s="833" t="s">
        <v>4189</v>
      </c>
      <c r="B64" s="841" t="s">
        <v>4189</v>
      </c>
      <c r="C64" s="925" t="s">
        <v>4190</v>
      </c>
      <c r="D64" s="379" t="s">
        <v>4191</v>
      </c>
      <c r="E64" s="379"/>
      <c r="F64" s="379"/>
      <c r="G64" s="840">
        <v>4</v>
      </c>
      <c r="H64" s="845" t="s">
        <v>369</v>
      </c>
      <c r="I64" s="103" t="s">
        <v>640</v>
      </c>
      <c r="J64" s="282" t="s">
        <v>369</v>
      </c>
      <c r="K64" s="282">
        <f>132*Belarus</f>
        <v>132</v>
      </c>
      <c r="L64" s="282">
        <f>132*Belarus</f>
        <v>132</v>
      </c>
      <c r="M64" s="282">
        <f>132*Belarus</f>
        <v>132</v>
      </c>
      <c r="N64" s="282">
        <f>132*Belarus</f>
        <v>132</v>
      </c>
    </row>
    <row r="65" spans="1:14" ht="21" customHeight="1">
      <c r="A65" s="2993" t="s">
        <v>4192</v>
      </c>
      <c r="B65" s="2993"/>
      <c r="C65" s="2993"/>
      <c r="D65" s="2993"/>
      <c r="E65" s="2993"/>
      <c r="F65" s="2993"/>
      <c r="G65" s="2993"/>
      <c r="H65" s="2993"/>
      <c r="I65" s="2993"/>
      <c r="J65" s="2993"/>
      <c r="K65" s="2993"/>
      <c r="L65" s="2993"/>
      <c r="M65" s="2993"/>
      <c r="N65" s="2993"/>
    </row>
  </sheetData>
  <sheetProtection selectLockedCells="1" selectUnlockedCells="1"/>
  <mergeCells count="90">
    <mergeCell ref="I4:I5"/>
    <mergeCell ref="H7:H8"/>
    <mergeCell ref="A1:C1"/>
    <mergeCell ref="A2:J2"/>
    <mergeCell ref="A4:A5"/>
    <mergeCell ref="B4:B5"/>
    <mergeCell ref="C4:C5"/>
    <mergeCell ref="D4:D5"/>
    <mergeCell ref="E4:F4"/>
    <mergeCell ref="G4:G5"/>
    <mergeCell ref="H4:H5"/>
    <mergeCell ref="A18:A20"/>
    <mergeCell ref="C18:C20"/>
    <mergeCell ref="G18:G20"/>
    <mergeCell ref="H18:H19"/>
    <mergeCell ref="I18:I20"/>
    <mergeCell ref="A12:A17"/>
    <mergeCell ref="C12:C17"/>
    <mergeCell ref="H12:H13"/>
    <mergeCell ref="I12:I17"/>
    <mergeCell ref="J4:N4"/>
    <mergeCell ref="C7:C8"/>
    <mergeCell ref="E7:E8"/>
    <mergeCell ref="F7:F8"/>
    <mergeCell ref="G7:G8"/>
    <mergeCell ref="C22:C25"/>
    <mergeCell ref="E22:E23"/>
    <mergeCell ref="G22:G25"/>
    <mergeCell ref="H22:H25"/>
    <mergeCell ref="I22:I25"/>
    <mergeCell ref="G14:G17"/>
    <mergeCell ref="J22:J24"/>
    <mergeCell ref="L22:L24"/>
    <mergeCell ref="M22:M24"/>
    <mergeCell ref="N22:N24"/>
    <mergeCell ref="A26:A29"/>
    <mergeCell ref="C26:C29"/>
    <mergeCell ref="G26:G29"/>
    <mergeCell ref="H26:H29"/>
    <mergeCell ref="I26:I29"/>
    <mergeCell ref="A22:A25"/>
    <mergeCell ref="A30:A32"/>
    <mergeCell ref="C30:C31"/>
    <mergeCell ref="G30:G31"/>
    <mergeCell ref="H30:H31"/>
    <mergeCell ref="I30:I31"/>
    <mergeCell ref="C34:C35"/>
    <mergeCell ref="G34:G37"/>
    <mergeCell ref="H34:H37"/>
    <mergeCell ref="I34:I37"/>
    <mergeCell ref="C36:C37"/>
    <mergeCell ref="L41:L44"/>
    <mergeCell ref="M41:M44"/>
    <mergeCell ref="N41:N44"/>
    <mergeCell ref="F36:F37"/>
    <mergeCell ref="A38:C38"/>
    <mergeCell ref="A41:A44"/>
    <mergeCell ref="C41:C44"/>
    <mergeCell ref="G41:G44"/>
    <mergeCell ref="H41:H44"/>
    <mergeCell ref="I45:I46"/>
    <mergeCell ref="J45:J46"/>
    <mergeCell ref="I41:I44"/>
    <mergeCell ref="J41:J44"/>
    <mergeCell ref="K41:K44"/>
    <mergeCell ref="K45:K46"/>
    <mergeCell ref="L45:L46"/>
    <mergeCell ref="M45:M46"/>
    <mergeCell ref="N45:N46"/>
    <mergeCell ref="A47:C47"/>
    <mergeCell ref="E49:F49"/>
    <mergeCell ref="J49:N50"/>
    <mergeCell ref="A45:A46"/>
    <mergeCell ref="C45:C46"/>
    <mergeCell ref="G45:G46"/>
    <mergeCell ref="H45:H46"/>
    <mergeCell ref="J52:N53"/>
    <mergeCell ref="C55:C56"/>
    <mergeCell ref="D55:D56"/>
    <mergeCell ref="G55:G56"/>
    <mergeCell ref="I55:I56"/>
    <mergeCell ref="J55:N56"/>
    <mergeCell ref="A65:N65"/>
    <mergeCell ref="A58:A59"/>
    <mergeCell ref="C58:C59"/>
    <mergeCell ref="G58:G59"/>
    <mergeCell ref="J58:N59"/>
    <mergeCell ref="A61:A62"/>
    <mergeCell ref="J61:N61"/>
    <mergeCell ref="J62:N62"/>
  </mergeCells>
  <hyperlinks>
    <hyperlink ref="A1" location="Содержание прайса!A1" display="Вернуться в начало"/>
    <hyperlink ref="A1:C1" location="'Содержание прайса'!A1" display="Вернуться в начало"/>
  </hyperlinks>
  <printOptions horizontalCentered="1"/>
  <pageMargins left="0" right="0" top="0.47244094488188981" bottom="0" header="0" footer="0"/>
  <pageSetup paperSize="9" scale="46"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54</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
  <sheetViews>
    <sheetView zoomScale="70" zoomScaleNormal="70" workbookViewId="0">
      <selection activeCell="B5" sqref="B5"/>
    </sheetView>
  </sheetViews>
  <sheetFormatPr defaultRowHeight="12.75"/>
  <cols>
    <col min="1" max="1" width="8.140625" style="663" customWidth="1"/>
    <col min="2" max="2" width="93.28515625" style="663" customWidth="1"/>
    <col min="3" max="3" width="36" style="663" customWidth="1"/>
    <col min="4" max="4" width="11.5703125" style="1127" customWidth="1"/>
    <col min="5" max="5" width="8.42578125" style="663" customWidth="1"/>
    <col min="6" max="6" width="8.140625" style="663" customWidth="1"/>
    <col min="7" max="7" width="82.140625" style="663" customWidth="1"/>
    <col min="8" max="8" width="12" style="663" customWidth="1"/>
    <col min="9" max="9" width="17.5703125" style="1127" customWidth="1"/>
    <col min="10" max="16384" width="9.140625" style="663"/>
  </cols>
  <sheetData>
    <row r="1" spans="1:9">
      <c r="A1" s="1666" t="s">
        <v>312</v>
      </c>
      <c r="B1" s="1666"/>
      <c r="F1" s="1666"/>
      <c r="G1" s="1666"/>
    </row>
    <row r="2" spans="1:9" ht="35.25" customHeight="1">
      <c r="A2" s="3028" t="s">
        <v>3547</v>
      </c>
      <c r="B2" s="3028"/>
      <c r="C2" s="3028"/>
      <c r="D2" s="3028"/>
      <c r="E2" s="3028"/>
      <c r="F2" s="3028"/>
      <c r="G2" s="3028"/>
      <c r="H2" s="3028"/>
      <c r="I2" s="3028"/>
    </row>
    <row r="3" spans="1:9" ht="54.75" customHeight="1">
      <c r="A3" s="1237"/>
      <c r="B3" s="1240"/>
      <c r="C3" s="1242"/>
      <c r="D3" s="1236"/>
      <c r="E3" s="1237"/>
      <c r="F3" s="1237"/>
      <c r="G3" s="1237"/>
      <c r="H3" s="1237"/>
      <c r="I3" s="1236"/>
    </row>
    <row r="4" spans="1:9" ht="48" customHeight="1">
      <c r="A4" s="1237"/>
      <c r="B4" s="1241" t="s">
        <v>6942</v>
      </c>
      <c r="C4" s="1242"/>
      <c r="D4" s="1236"/>
      <c r="E4" s="1237"/>
      <c r="F4" s="1237"/>
      <c r="G4" s="1237"/>
      <c r="H4" s="1237"/>
      <c r="I4" s="1236"/>
    </row>
    <row r="5" spans="1:9" ht="57.75" customHeight="1">
      <c r="A5" s="1237"/>
      <c r="B5" s="1241" t="s">
        <v>6949</v>
      </c>
      <c r="C5" s="1242"/>
      <c r="D5" s="1236"/>
      <c r="E5" s="1237"/>
      <c r="F5" s="1237"/>
      <c r="G5" s="1237"/>
      <c r="H5" s="1237"/>
      <c r="I5" s="1236"/>
    </row>
    <row r="6" spans="1:9" ht="34.5">
      <c r="A6" s="1237"/>
      <c r="B6" s="1241" t="s">
        <v>6943</v>
      </c>
      <c r="C6" s="1237"/>
      <c r="D6" s="1236"/>
      <c r="E6" s="1237"/>
      <c r="F6" s="1237"/>
      <c r="G6" s="1237"/>
      <c r="H6" s="1237"/>
      <c r="I6" s="1236"/>
    </row>
    <row r="7" spans="1:9" ht="36">
      <c r="A7" s="1237"/>
      <c r="B7" s="1240"/>
      <c r="C7" s="1237"/>
      <c r="D7" s="1236"/>
      <c r="E7" s="1237"/>
      <c r="F7" s="1237"/>
      <c r="G7" s="1237"/>
      <c r="H7" s="1237"/>
      <c r="I7" s="1236"/>
    </row>
    <row r="8" spans="1:9" ht="34.5">
      <c r="A8" s="1237"/>
      <c r="B8" s="1241" t="s">
        <v>6944</v>
      </c>
      <c r="C8" s="1237"/>
      <c r="D8" s="1236"/>
      <c r="E8" s="1237"/>
      <c r="F8" s="1237"/>
      <c r="G8" s="1237"/>
      <c r="H8" s="1237"/>
      <c r="I8" s="1236"/>
    </row>
    <row r="9" spans="1:9" ht="34.5">
      <c r="A9" s="1237"/>
      <c r="B9" s="1241" t="s">
        <v>6945</v>
      </c>
      <c r="C9" s="1237"/>
      <c r="D9" s="1236"/>
      <c r="E9" s="1237"/>
      <c r="F9" s="1237"/>
      <c r="G9" s="1237"/>
      <c r="H9" s="1237"/>
      <c r="I9" s="1236"/>
    </row>
    <row r="10" spans="1:9" ht="34.5">
      <c r="A10" s="1237"/>
      <c r="B10" s="1241" t="s">
        <v>6946</v>
      </c>
      <c r="C10" s="1237"/>
      <c r="D10" s="1236"/>
      <c r="E10" s="1237"/>
      <c r="F10" s="1237"/>
      <c r="G10" s="1237"/>
      <c r="H10" s="1237"/>
      <c r="I10" s="1236"/>
    </row>
    <row r="11" spans="1:9" ht="36">
      <c r="A11" s="1237"/>
      <c r="B11" s="1240"/>
      <c r="C11" s="1237"/>
      <c r="D11" s="1236"/>
      <c r="E11" s="1237"/>
      <c r="F11" s="1237"/>
      <c r="G11" s="1237"/>
      <c r="H11" s="1237"/>
      <c r="I11" s="1236"/>
    </row>
    <row r="12" spans="1:9" ht="34.5">
      <c r="A12" s="1237"/>
      <c r="B12" s="1241" t="s">
        <v>6947</v>
      </c>
      <c r="C12" s="1237"/>
      <c r="D12" s="1236"/>
      <c r="E12" s="1237"/>
      <c r="F12" s="1237"/>
      <c r="G12" s="1237"/>
      <c r="H12" s="1237"/>
      <c r="I12" s="1236"/>
    </row>
    <row r="13" spans="1:9" ht="34.5">
      <c r="A13" s="1237"/>
      <c r="B13" s="1241" t="s">
        <v>6948</v>
      </c>
      <c r="C13" s="1237"/>
      <c r="D13" s="1236"/>
      <c r="E13" s="1237"/>
      <c r="F13" s="1237"/>
      <c r="G13" s="1237"/>
      <c r="H13" s="1237"/>
      <c r="I13" s="1236"/>
    </row>
    <row r="14" spans="1:9" ht="34.5">
      <c r="A14" s="1237"/>
      <c r="B14" s="1239"/>
      <c r="C14" s="1237"/>
      <c r="D14" s="1236"/>
      <c r="E14" s="1237"/>
      <c r="F14" s="1237"/>
      <c r="G14" s="1237"/>
      <c r="H14" s="1237"/>
      <c r="I14" s="1236"/>
    </row>
    <row r="15" spans="1:9" ht="34.5">
      <c r="B15" s="1238"/>
    </row>
  </sheetData>
  <sheetProtection selectLockedCells="1" selectUnlockedCells="1"/>
  <mergeCells count="3">
    <mergeCell ref="A1:B1"/>
    <mergeCell ref="F1:G1"/>
    <mergeCell ref="A2:I2"/>
  </mergeCells>
  <hyperlinks>
    <hyperlink ref="A1" location="Содержание прайса!A1" display="Вернуться в начало"/>
    <hyperlink ref="A1:B1" location="'Содержание прайса'!A1" display="Вернуться в начало"/>
  </hyperlinks>
  <printOptions horizontalCentered="1"/>
  <pageMargins left="0" right="0" top="0.47244094488188981" bottom="0" header="0" footer="0"/>
  <pageSetup paperSize="9" scale="55"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56</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BL76"/>
  <sheetViews>
    <sheetView workbookViewId="0">
      <pane xSplit="2" ySplit="3" topLeftCell="C4" activePane="bottomRight" state="frozen"/>
      <selection pane="topRight" activeCell="C1" sqref="C1"/>
      <selection pane="bottomLeft" activeCell="A4" sqref="A4"/>
      <selection pane="bottomRight" activeCell="B2" sqref="B2:B3"/>
    </sheetView>
  </sheetViews>
  <sheetFormatPr defaultRowHeight="15"/>
  <cols>
    <col min="1" max="1" width="2.28515625" style="964" customWidth="1"/>
    <col min="2" max="2" width="32.7109375" style="964" customWidth="1"/>
    <col min="3" max="3" width="19.5703125" style="964" customWidth="1"/>
    <col min="4" max="4" width="8.140625" style="965" customWidth="1"/>
    <col min="5" max="5" width="16.5703125" style="964" customWidth="1"/>
    <col min="6" max="6" width="7.5703125" style="965" customWidth="1"/>
    <col min="7" max="7" width="16.7109375" style="964" customWidth="1"/>
    <col min="8" max="8" width="7.5703125" style="965" customWidth="1"/>
    <col min="9" max="9" width="16.28515625" style="961" customWidth="1"/>
    <col min="10" max="10" width="7" style="966" customWidth="1"/>
    <col min="11" max="11" width="18.28515625" style="964" customWidth="1"/>
    <col min="12" max="12" width="7" style="964" customWidth="1"/>
    <col min="13" max="13" width="18.42578125" style="964" customWidth="1"/>
    <col min="14" max="14" width="7" style="964" customWidth="1"/>
    <col min="15" max="15" width="18.7109375" style="964" customWidth="1"/>
    <col min="16" max="16" width="6.85546875" style="965" customWidth="1"/>
    <col min="17" max="17" width="17.5703125" style="964" customWidth="1"/>
    <col min="18" max="18" width="6.85546875" style="965" customWidth="1"/>
    <col min="19" max="19" width="17.85546875" style="964" customWidth="1"/>
    <col min="20" max="20" width="7.7109375" style="965" customWidth="1"/>
    <col min="21" max="21" width="22" style="964" customWidth="1"/>
    <col min="22" max="22" width="7.7109375" style="1007" customWidth="1"/>
    <col min="23" max="23" width="22.5703125" style="964" customWidth="1"/>
    <col min="24" max="24" width="7.7109375" style="1007" customWidth="1"/>
    <col min="25" max="25" width="18.28515625" style="964" customWidth="1"/>
    <col min="26" max="26" width="7.28515625" style="965" customWidth="1"/>
    <col min="27" max="27" width="19.140625" style="964" customWidth="1"/>
    <col min="28" max="28" width="7.140625" style="965" customWidth="1"/>
    <col min="29" max="29" width="19.5703125" style="964" customWidth="1"/>
    <col min="30" max="30" width="7" style="965" customWidth="1"/>
    <col min="31" max="31" width="19.28515625" style="964" customWidth="1"/>
    <col min="32" max="32" width="6.7109375" style="965" customWidth="1"/>
    <col min="33" max="33" width="20.42578125" style="964" customWidth="1"/>
    <col min="34" max="34" width="6.7109375" style="965" customWidth="1"/>
    <col min="35" max="35" width="19.7109375" style="964" customWidth="1"/>
    <col min="36" max="36" width="6.85546875" style="965" customWidth="1"/>
    <col min="37" max="37" width="20.42578125" style="964" customWidth="1"/>
    <col min="38" max="38" width="7.140625" style="965" customWidth="1"/>
    <col min="39" max="39" width="18.85546875" style="964" customWidth="1"/>
    <col min="40" max="40" width="7.42578125" style="965" customWidth="1"/>
    <col min="41" max="41" width="21.5703125" style="964" customWidth="1"/>
    <col min="42" max="42" width="7" style="965" customWidth="1"/>
    <col min="43" max="43" width="21.42578125" style="964" customWidth="1"/>
    <col min="44" max="44" width="7" style="965" customWidth="1"/>
    <col min="45" max="45" width="18.85546875" style="964" customWidth="1"/>
    <col min="46" max="46" width="6.85546875" style="965" customWidth="1"/>
    <col min="47" max="47" width="18.42578125" style="964" customWidth="1"/>
    <col min="48" max="48" width="7" style="965" customWidth="1"/>
    <col min="49" max="49" width="17.42578125" style="964" customWidth="1"/>
    <col min="50" max="50" width="7" style="965" customWidth="1"/>
    <col min="51" max="51" width="17.85546875" style="964" customWidth="1"/>
    <col min="52" max="52" width="7.28515625" style="965" customWidth="1"/>
    <col min="53" max="53" width="17.42578125" style="964" customWidth="1"/>
    <col min="54" max="54" width="6.7109375" style="965" customWidth="1"/>
    <col min="55" max="55" width="18.28515625" style="964" customWidth="1"/>
    <col min="56" max="56" width="6.7109375" style="965" customWidth="1"/>
    <col min="57" max="57" width="18" style="964" customWidth="1"/>
    <col min="58" max="58" width="7.28515625" style="965" customWidth="1"/>
    <col min="59" max="59" width="18" style="964" customWidth="1"/>
    <col min="60" max="60" width="6.7109375" style="965" customWidth="1"/>
    <col min="61" max="61" width="22" style="964" customWidth="1"/>
    <col min="62" max="62" width="9.140625" style="964"/>
    <col min="63" max="63" width="20.42578125" style="964" customWidth="1"/>
    <col min="64" max="16384" width="9.140625" style="964"/>
  </cols>
  <sheetData>
    <row r="1" spans="1:64" ht="15.75" thickBot="1"/>
    <row r="2" spans="1:64" s="967" customFormat="1" ht="15" customHeight="1">
      <c r="B2" s="3043" t="s">
        <v>5414</v>
      </c>
      <c r="C2" s="3033" t="s">
        <v>327</v>
      </c>
      <c r="D2" s="3034"/>
      <c r="E2" s="3033" t="s">
        <v>328</v>
      </c>
      <c r="F2" s="3034"/>
      <c r="G2" s="3033" t="s">
        <v>329</v>
      </c>
      <c r="H2" s="3034"/>
      <c r="I2" s="3033" t="s">
        <v>330</v>
      </c>
      <c r="J2" s="3034"/>
      <c r="K2" s="3033" t="s">
        <v>331</v>
      </c>
      <c r="L2" s="3034"/>
      <c r="M2" s="3033" t="s">
        <v>332</v>
      </c>
      <c r="N2" s="3034"/>
      <c r="O2" s="3033" t="s">
        <v>333</v>
      </c>
      <c r="P2" s="3034"/>
      <c r="Q2" s="3033" t="s">
        <v>322</v>
      </c>
      <c r="R2" s="3034"/>
      <c r="S2" s="3033" t="s">
        <v>323</v>
      </c>
      <c r="T2" s="3034"/>
      <c r="U2" s="3033" t="s">
        <v>620</v>
      </c>
      <c r="V2" s="3034"/>
      <c r="W2" s="3033" t="s">
        <v>5344</v>
      </c>
      <c r="X2" s="3034"/>
      <c r="Y2" s="3033" t="s">
        <v>334</v>
      </c>
      <c r="Z2" s="3034"/>
      <c r="AA2" s="3033" t="s">
        <v>335</v>
      </c>
      <c r="AB2" s="3034"/>
      <c r="AC2" s="3033" t="s">
        <v>336</v>
      </c>
      <c r="AD2" s="3034"/>
      <c r="AE2" s="3033" t="s">
        <v>289</v>
      </c>
      <c r="AF2" s="3037"/>
      <c r="AG2" s="3037"/>
      <c r="AH2" s="3037"/>
      <c r="AI2" s="3037"/>
      <c r="AJ2" s="3037"/>
      <c r="AK2" s="3037"/>
      <c r="AL2" s="3037"/>
      <c r="AM2" s="3037"/>
      <c r="AN2" s="3034"/>
      <c r="AO2" s="3037" t="s">
        <v>4517</v>
      </c>
      <c r="AP2" s="3037"/>
      <c r="AQ2" s="3039" t="s">
        <v>4327</v>
      </c>
      <c r="AR2" s="3040"/>
      <c r="AS2" s="3031" t="s">
        <v>326</v>
      </c>
      <c r="AT2" s="3032"/>
      <c r="AU2" s="3032"/>
      <c r="AV2" s="3032"/>
      <c r="AW2" s="3032"/>
      <c r="AX2" s="3032"/>
      <c r="AY2" s="3032"/>
      <c r="AZ2" s="3032"/>
      <c r="BA2" s="3032"/>
      <c r="BB2" s="3032"/>
      <c r="BC2" s="3032"/>
      <c r="BD2" s="3032"/>
      <c r="BE2" s="3032"/>
      <c r="BF2" s="3032"/>
      <c r="BG2" s="3032"/>
      <c r="BH2" s="1011"/>
      <c r="BI2" s="3033" t="s">
        <v>4518</v>
      </c>
      <c r="BJ2" s="3034"/>
      <c r="BK2" s="3037" t="s">
        <v>2835</v>
      </c>
      <c r="BL2" s="3034"/>
    </row>
    <row r="3" spans="1:64" s="968" customFormat="1" ht="27.75" customHeight="1" thickBot="1">
      <c r="B3" s="3044"/>
      <c r="C3" s="3035"/>
      <c r="D3" s="3036"/>
      <c r="E3" s="3035"/>
      <c r="F3" s="3036"/>
      <c r="G3" s="3035"/>
      <c r="H3" s="3036"/>
      <c r="I3" s="3035"/>
      <c r="J3" s="3036"/>
      <c r="K3" s="3035"/>
      <c r="L3" s="3036"/>
      <c r="M3" s="3035"/>
      <c r="N3" s="3036"/>
      <c r="O3" s="3035"/>
      <c r="P3" s="3036"/>
      <c r="Q3" s="3035"/>
      <c r="R3" s="3036"/>
      <c r="S3" s="3035"/>
      <c r="T3" s="3036"/>
      <c r="U3" s="3035"/>
      <c r="V3" s="3036"/>
      <c r="W3" s="3035"/>
      <c r="X3" s="3036"/>
      <c r="Y3" s="3035"/>
      <c r="Z3" s="3036"/>
      <c r="AA3" s="3035"/>
      <c r="AB3" s="3036"/>
      <c r="AC3" s="3035"/>
      <c r="AD3" s="3036"/>
      <c r="AE3" s="3029">
        <v>0.8</v>
      </c>
      <c r="AF3" s="3029"/>
      <c r="AG3" s="3029">
        <v>0.7</v>
      </c>
      <c r="AH3" s="3029"/>
      <c r="AI3" s="3029">
        <v>0.65</v>
      </c>
      <c r="AJ3" s="3029"/>
      <c r="AK3" s="3029">
        <v>0.45</v>
      </c>
      <c r="AL3" s="3029"/>
      <c r="AM3" s="3029">
        <v>0.4</v>
      </c>
      <c r="AN3" s="3029"/>
      <c r="AO3" s="3038"/>
      <c r="AP3" s="3038"/>
      <c r="AQ3" s="3041"/>
      <c r="AR3" s="3042"/>
      <c r="AS3" s="3029">
        <v>0.35</v>
      </c>
      <c r="AT3" s="3029"/>
      <c r="AU3" s="3029">
        <v>0.4</v>
      </c>
      <c r="AV3" s="3029"/>
      <c r="AW3" s="3029">
        <v>0.45</v>
      </c>
      <c r="AX3" s="3029"/>
      <c r="AY3" s="3029">
        <v>0.5</v>
      </c>
      <c r="AZ3" s="3029"/>
      <c r="BA3" s="3029">
        <v>0.55000000000000004</v>
      </c>
      <c r="BB3" s="3029"/>
      <c r="BC3" s="3029">
        <v>0.7</v>
      </c>
      <c r="BD3" s="3029"/>
      <c r="BE3" s="3029">
        <v>0.8</v>
      </c>
      <c r="BF3" s="3029"/>
      <c r="BG3" s="3029">
        <v>0.9</v>
      </c>
      <c r="BH3" s="3030"/>
      <c r="BI3" s="3035"/>
      <c r="BJ3" s="3036"/>
      <c r="BK3" s="3038"/>
      <c r="BL3" s="3036"/>
    </row>
    <row r="4" spans="1:64">
      <c r="B4" s="969" t="s">
        <v>366</v>
      </c>
      <c r="C4" s="970" t="s">
        <v>4519</v>
      </c>
      <c r="D4" s="1001" t="s">
        <v>369</v>
      </c>
      <c r="E4" s="970" t="s">
        <v>4520</v>
      </c>
      <c r="F4" s="1001">
        <v>640</v>
      </c>
      <c r="G4" s="970" t="s">
        <v>4521</v>
      </c>
      <c r="H4" s="1001">
        <v>663</v>
      </c>
      <c r="I4" s="970" t="s">
        <v>4522</v>
      </c>
      <c r="J4" s="1001">
        <v>710</v>
      </c>
      <c r="K4" s="970" t="s">
        <v>4523</v>
      </c>
      <c r="L4" s="1001">
        <v>595</v>
      </c>
      <c r="M4" s="970" t="s">
        <v>4524</v>
      </c>
      <c r="N4" s="1001">
        <v>585</v>
      </c>
      <c r="O4" s="970" t="s">
        <v>4525</v>
      </c>
      <c r="P4" s="1001">
        <v>564</v>
      </c>
      <c r="Q4" s="970" t="s">
        <v>4526</v>
      </c>
      <c r="R4" s="1001">
        <v>802</v>
      </c>
      <c r="S4" s="970" t="s">
        <v>4527</v>
      </c>
      <c r="T4" s="1001">
        <v>541</v>
      </c>
      <c r="U4" s="970" t="s">
        <v>4528</v>
      </c>
      <c r="V4" s="1008">
        <v>551</v>
      </c>
      <c r="W4" s="970" t="s">
        <v>5345</v>
      </c>
      <c r="X4" s="1001">
        <v>515</v>
      </c>
      <c r="Y4" s="970" t="s">
        <v>4529</v>
      </c>
      <c r="Z4" s="1001">
        <v>455</v>
      </c>
      <c r="AA4" s="970" t="s">
        <v>4530</v>
      </c>
      <c r="AB4" s="1001">
        <v>439</v>
      </c>
      <c r="AC4" s="970" t="s">
        <v>4531</v>
      </c>
      <c r="AD4" s="1001" t="s">
        <v>369</v>
      </c>
      <c r="AE4" s="970" t="s">
        <v>4532</v>
      </c>
      <c r="AF4" s="1001" t="s">
        <v>369</v>
      </c>
      <c r="AG4" s="971" t="s">
        <v>4533</v>
      </c>
      <c r="AH4" s="1001" t="s">
        <v>369</v>
      </c>
      <c r="AI4" s="971" t="s">
        <v>4534</v>
      </c>
      <c r="AJ4" s="1001" t="s">
        <v>369</v>
      </c>
      <c r="AK4" s="971" t="s">
        <v>4535</v>
      </c>
      <c r="AL4" s="1001">
        <v>401</v>
      </c>
      <c r="AM4" s="971" t="s">
        <v>4536</v>
      </c>
      <c r="AN4" s="1001" t="s">
        <v>369</v>
      </c>
      <c r="AO4" s="971" t="s">
        <v>4537</v>
      </c>
      <c r="AP4" s="1001" t="s">
        <v>369</v>
      </c>
      <c r="AQ4" s="971" t="s">
        <v>4538</v>
      </c>
      <c r="AR4" s="1001"/>
      <c r="AS4" s="971"/>
      <c r="AT4" s="1012"/>
      <c r="AU4" s="971"/>
      <c r="AV4" s="1012"/>
      <c r="AW4" s="971"/>
      <c r="AX4" s="1012"/>
      <c r="AY4" s="971"/>
      <c r="AZ4" s="1012"/>
      <c r="BA4" s="971"/>
      <c r="BB4" s="1012"/>
      <c r="BC4" s="971"/>
      <c r="BD4" s="1012"/>
      <c r="BE4" s="971"/>
      <c r="BF4" s="1012"/>
      <c r="BG4" s="971"/>
      <c r="BH4" s="1012"/>
      <c r="BI4" s="970" t="s">
        <v>4539</v>
      </c>
      <c r="BJ4" s="1004" t="s">
        <v>369</v>
      </c>
      <c r="BK4" s="971" t="s">
        <v>4540</v>
      </c>
      <c r="BL4" s="1004" t="s">
        <v>369</v>
      </c>
    </row>
    <row r="5" spans="1:64">
      <c r="B5" s="972" t="s">
        <v>6771</v>
      </c>
      <c r="C5" s="973" t="s">
        <v>6772</v>
      </c>
      <c r="D5" s="1002" t="s">
        <v>369</v>
      </c>
      <c r="E5" s="973" t="s">
        <v>6773</v>
      </c>
      <c r="F5" s="1002">
        <v>640</v>
      </c>
      <c r="G5" s="973" t="s">
        <v>6774</v>
      </c>
      <c r="H5" s="1002">
        <v>663</v>
      </c>
      <c r="I5" s="973" t="s">
        <v>6775</v>
      </c>
      <c r="J5" s="1002">
        <v>710</v>
      </c>
      <c r="K5" s="973" t="s">
        <v>6776</v>
      </c>
      <c r="L5" s="1002">
        <v>595</v>
      </c>
      <c r="M5" s="973" t="s">
        <v>6777</v>
      </c>
      <c r="N5" s="1002">
        <v>585</v>
      </c>
      <c r="O5" s="973" t="s">
        <v>6778</v>
      </c>
      <c r="P5" s="1002">
        <v>564</v>
      </c>
      <c r="Q5" s="973" t="s">
        <v>6779</v>
      </c>
      <c r="R5" s="1002">
        <v>802</v>
      </c>
      <c r="S5" s="973" t="s">
        <v>6780</v>
      </c>
      <c r="T5" s="1002">
        <v>541</v>
      </c>
      <c r="U5" s="973" t="s">
        <v>6781</v>
      </c>
      <c r="V5" s="1009">
        <v>551</v>
      </c>
      <c r="W5" s="973" t="s">
        <v>6782</v>
      </c>
      <c r="X5" s="1002">
        <v>515</v>
      </c>
      <c r="Y5" s="973" t="s">
        <v>6783</v>
      </c>
      <c r="Z5" s="1002">
        <v>455</v>
      </c>
      <c r="AA5" s="973" t="s">
        <v>6784</v>
      </c>
      <c r="AB5" s="1002">
        <v>439</v>
      </c>
      <c r="AC5" s="973" t="s">
        <v>369</v>
      </c>
      <c r="AD5" s="1002"/>
      <c r="AE5" s="973" t="s">
        <v>369</v>
      </c>
      <c r="AF5" s="1002"/>
      <c r="AG5" s="964" t="s">
        <v>369</v>
      </c>
      <c r="AH5" s="1002"/>
      <c r="AI5" s="964" t="s">
        <v>369</v>
      </c>
      <c r="AJ5" s="1002"/>
      <c r="AK5" s="964" t="s">
        <v>6785</v>
      </c>
      <c r="AL5" s="1002">
        <v>401</v>
      </c>
      <c r="AM5" s="964" t="s">
        <v>369</v>
      </c>
      <c r="AN5" s="1002" t="s">
        <v>369</v>
      </c>
      <c r="AO5" s="964" t="s">
        <v>369</v>
      </c>
      <c r="AP5" s="1002" t="s">
        <v>369</v>
      </c>
      <c r="AQ5" s="964" t="s">
        <v>369</v>
      </c>
      <c r="AR5" s="1002"/>
      <c r="BI5" s="973" t="s">
        <v>369</v>
      </c>
      <c r="BJ5" s="1005" t="s">
        <v>369</v>
      </c>
      <c r="BK5" s="964" t="s">
        <v>369</v>
      </c>
      <c r="BL5" s="1005" t="s">
        <v>369</v>
      </c>
    </row>
    <row r="6" spans="1:64">
      <c r="B6" s="972" t="s">
        <v>370</v>
      </c>
      <c r="C6" s="973" t="s">
        <v>4541</v>
      </c>
      <c r="D6" s="1002" t="s">
        <v>369</v>
      </c>
      <c r="E6" s="973" t="s">
        <v>4542</v>
      </c>
      <c r="F6" s="1002">
        <v>615</v>
      </c>
      <c r="G6" s="973" t="s">
        <v>4543</v>
      </c>
      <c r="H6" s="1002">
        <v>638</v>
      </c>
      <c r="I6" s="973" t="s">
        <v>4544</v>
      </c>
      <c r="J6" s="1002">
        <v>685</v>
      </c>
      <c r="K6" s="973" t="s">
        <v>4545</v>
      </c>
      <c r="L6" s="1002">
        <v>570</v>
      </c>
      <c r="M6" s="973" t="s">
        <v>4546</v>
      </c>
      <c r="N6" s="1002">
        <v>560</v>
      </c>
      <c r="O6" s="973" t="s">
        <v>4547</v>
      </c>
      <c r="P6" s="1002">
        <v>539</v>
      </c>
      <c r="Q6" s="973" t="s">
        <v>4548</v>
      </c>
      <c r="R6" s="1002">
        <v>777</v>
      </c>
      <c r="S6" s="973" t="s">
        <v>4549</v>
      </c>
      <c r="T6" s="1002">
        <v>516</v>
      </c>
      <c r="U6" s="973" t="s">
        <v>4550</v>
      </c>
      <c r="V6" s="1009">
        <v>526</v>
      </c>
      <c r="W6" s="973" t="s">
        <v>5346</v>
      </c>
      <c r="X6" s="1002">
        <v>490</v>
      </c>
      <c r="Y6" s="973" t="s">
        <v>4551</v>
      </c>
      <c r="Z6" s="1002">
        <v>430</v>
      </c>
      <c r="AA6" s="973" t="s">
        <v>4552</v>
      </c>
      <c r="AB6" s="1002">
        <v>414</v>
      </c>
      <c r="AC6" s="973" t="s">
        <v>4553</v>
      </c>
      <c r="AD6" s="1002" t="s">
        <v>369</v>
      </c>
      <c r="AE6" s="973" t="s">
        <v>4554</v>
      </c>
      <c r="AF6" s="1002" t="s">
        <v>369</v>
      </c>
      <c r="AG6" s="964" t="s">
        <v>4555</v>
      </c>
      <c r="AH6" s="1002" t="s">
        <v>369</v>
      </c>
      <c r="AI6" s="964" t="s">
        <v>4556</v>
      </c>
      <c r="AJ6" s="1002" t="s">
        <v>369</v>
      </c>
      <c r="AK6" s="964" t="s">
        <v>4557</v>
      </c>
      <c r="AL6" s="1002">
        <v>376</v>
      </c>
      <c r="AM6" s="964" t="s">
        <v>4558</v>
      </c>
      <c r="AN6" s="1002" t="s">
        <v>369</v>
      </c>
      <c r="AO6" s="964" t="s">
        <v>4559</v>
      </c>
      <c r="AP6" s="1002" t="s">
        <v>369</v>
      </c>
      <c r="AQ6" s="964" t="s">
        <v>4560</v>
      </c>
      <c r="AR6" s="1002"/>
      <c r="BI6" s="973" t="s">
        <v>4561</v>
      </c>
      <c r="BJ6" s="1005" t="s">
        <v>369</v>
      </c>
      <c r="BK6" s="964" t="s">
        <v>4562</v>
      </c>
      <c r="BL6" s="1005" t="s">
        <v>369</v>
      </c>
    </row>
    <row r="7" spans="1:64">
      <c r="B7" s="972" t="s">
        <v>372</v>
      </c>
      <c r="C7" s="973" t="s">
        <v>4563</v>
      </c>
      <c r="D7" s="1002" t="s">
        <v>369</v>
      </c>
      <c r="E7" s="973" t="s">
        <v>4564</v>
      </c>
      <c r="F7" s="1002">
        <v>615</v>
      </c>
      <c r="G7" s="973" t="s">
        <v>4565</v>
      </c>
      <c r="H7" s="1002">
        <v>638</v>
      </c>
      <c r="I7" s="973" t="s">
        <v>4566</v>
      </c>
      <c r="J7" s="1002">
        <v>685</v>
      </c>
      <c r="K7" s="973" t="s">
        <v>4567</v>
      </c>
      <c r="L7" s="1002">
        <v>570</v>
      </c>
      <c r="M7" s="973" t="s">
        <v>4568</v>
      </c>
      <c r="N7" s="1002">
        <v>560</v>
      </c>
      <c r="O7" s="973" t="s">
        <v>4569</v>
      </c>
      <c r="P7" s="1002">
        <v>539</v>
      </c>
      <c r="Q7" s="973" t="s">
        <v>4570</v>
      </c>
      <c r="R7" s="1002">
        <v>777</v>
      </c>
      <c r="S7" s="973" t="s">
        <v>4571</v>
      </c>
      <c r="T7" s="1002">
        <v>516</v>
      </c>
      <c r="U7" s="973" t="s">
        <v>4572</v>
      </c>
      <c r="V7" s="1009">
        <v>526</v>
      </c>
      <c r="W7" s="973" t="s">
        <v>5347</v>
      </c>
      <c r="X7" s="1002">
        <v>490</v>
      </c>
      <c r="Y7" s="973" t="s">
        <v>4573</v>
      </c>
      <c r="Z7" s="1002">
        <v>430</v>
      </c>
      <c r="AA7" s="973" t="s">
        <v>4574</v>
      </c>
      <c r="AB7" s="1002">
        <v>414</v>
      </c>
      <c r="AC7" s="973" t="s">
        <v>4575</v>
      </c>
      <c r="AD7" s="1002" t="s">
        <v>369</v>
      </c>
      <c r="AE7" s="973" t="s">
        <v>4576</v>
      </c>
      <c r="AF7" s="1002" t="s">
        <v>369</v>
      </c>
      <c r="AG7" s="964" t="s">
        <v>4577</v>
      </c>
      <c r="AH7" s="1002" t="s">
        <v>369</v>
      </c>
      <c r="AI7" s="964" t="s">
        <v>4578</v>
      </c>
      <c r="AJ7" s="1002" t="s">
        <v>369</v>
      </c>
      <c r="AK7" s="964" t="s">
        <v>4579</v>
      </c>
      <c r="AL7" s="1002">
        <v>376</v>
      </c>
      <c r="AM7" s="964" t="s">
        <v>4580</v>
      </c>
      <c r="AN7" s="1002" t="s">
        <v>369</v>
      </c>
      <c r="AO7" s="964" t="s">
        <v>4581</v>
      </c>
      <c r="AP7" s="1002" t="s">
        <v>369</v>
      </c>
      <c r="AQ7" s="964" t="s">
        <v>4582</v>
      </c>
      <c r="AR7" s="1002"/>
      <c r="BI7" s="973" t="s">
        <v>4583</v>
      </c>
      <c r="BJ7" s="1005" t="s">
        <v>369</v>
      </c>
      <c r="BK7" s="964" t="s">
        <v>4584</v>
      </c>
      <c r="BL7" s="1005">
        <v>555</v>
      </c>
    </row>
    <row r="8" spans="1:64">
      <c r="B8" s="972" t="s">
        <v>374</v>
      </c>
      <c r="C8" s="973" t="s">
        <v>4585</v>
      </c>
      <c r="D8" s="1002" t="s">
        <v>369</v>
      </c>
      <c r="E8" s="973" t="s">
        <v>4586</v>
      </c>
      <c r="F8" s="1002">
        <v>600</v>
      </c>
      <c r="G8" s="973" t="s">
        <v>4587</v>
      </c>
      <c r="H8" s="1002">
        <v>623</v>
      </c>
      <c r="I8" s="973" t="s">
        <v>4588</v>
      </c>
      <c r="J8" s="1002">
        <v>670</v>
      </c>
      <c r="K8" s="973" t="s">
        <v>4589</v>
      </c>
      <c r="L8" s="1002">
        <v>555</v>
      </c>
      <c r="M8" s="973" t="s">
        <v>4590</v>
      </c>
      <c r="N8" s="1002">
        <v>545</v>
      </c>
      <c r="O8" s="973" t="s">
        <v>4591</v>
      </c>
      <c r="P8" s="1002">
        <v>524</v>
      </c>
      <c r="Q8" s="973" t="s">
        <v>4592</v>
      </c>
      <c r="R8" s="1002">
        <v>762</v>
      </c>
      <c r="S8" s="973" t="s">
        <v>4593</v>
      </c>
      <c r="T8" s="1002">
        <v>501</v>
      </c>
      <c r="U8" s="973" t="s">
        <v>4594</v>
      </c>
      <c r="V8" s="1009">
        <v>511</v>
      </c>
      <c r="W8" s="973" t="s">
        <v>5348</v>
      </c>
      <c r="X8" s="1002">
        <v>475</v>
      </c>
      <c r="Y8" s="973" t="s">
        <v>4595</v>
      </c>
      <c r="Z8" s="1002">
        <v>415</v>
      </c>
      <c r="AA8" s="973" t="s">
        <v>4596</v>
      </c>
      <c r="AB8" s="1002">
        <v>399</v>
      </c>
      <c r="AC8" s="973" t="s">
        <v>4597</v>
      </c>
      <c r="AD8" s="1002" t="s">
        <v>369</v>
      </c>
      <c r="AE8" s="973" t="s">
        <v>4598</v>
      </c>
      <c r="AF8" s="1002" t="s">
        <v>369</v>
      </c>
      <c r="AG8" s="964" t="s">
        <v>4599</v>
      </c>
      <c r="AH8" s="1002" t="s">
        <v>369</v>
      </c>
      <c r="AI8" s="964" t="s">
        <v>4600</v>
      </c>
      <c r="AJ8" s="1002" t="s">
        <v>369</v>
      </c>
      <c r="AK8" s="964" t="s">
        <v>4601</v>
      </c>
      <c r="AL8" s="1002">
        <v>361</v>
      </c>
      <c r="AM8" s="964" t="s">
        <v>4602</v>
      </c>
      <c r="AN8" s="1002">
        <v>349</v>
      </c>
      <c r="AO8" s="964" t="s">
        <v>4603</v>
      </c>
      <c r="AP8" s="1002" t="s">
        <v>369</v>
      </c>
      <c r="AQ8" s="964" t="s">
        <v>4604</v>
      </c>
      <c r="AR8" s="1002"/>
      <c r="BI8" s="973" t="s">
        <v>4605</v>
      </c>
      <c r="BJ8" s="1005" t="s">
        <v>369</v>
      </c>
      <c r="BK8" s="964" t="s">
        <v>4606</v>
      </c>
      <c r="BL8" s="1005">
        <v>540</v>
      </c>
    </row>
    <row r="9" spans="1:64">
      <c r="B9" s="974" t="s">
        <v>4607</v>
      </c>
      <c r="C9" s="973" t="s">
        <v>4608</v>
      </c>
      <c r="D9" s="1002" t="s">
        <v>369</v>
      </c>
      <c r="E9" s="973" t="s">
        <v>4609</v>
      </c>
      <c r="F9" s="1002" t="s">
        <v>369</v>
      </c>
      <c r="G9" s="973" t="s">
        <v>4610</v>
      </c>
      <c r="H9" s="1002" t="s">
        <v>369</v>
      </c>
      <c r="I9" s="973" t="s">
        <v>4611</v>
      </c>
      <c r="J9" s="1002">
        <v>710</v>
      </c>
      <c r="K9" s="973" t="s">
        <v>4612</v>
      </c>
      <c r="L9" s="1002">
        <v>595</v>
      </c>
      <c r="M9" s="973" t="s">
        <v>4613</v>
      </c>
      <c r="N9" s="1002">
        <v>585</v>
      </c>
      <c r="O9" s="973" t="s">
        <v>4614</v>
      </c>
      <c r="P9" s="1002">
        <v>564</v>
      </c>
      <c r="Q9" s="973" t="s">
        <v>4615</v>
      </c>
      <c r="R9" s="1002">
        <v>802</v>
      </c>
      <c r="S9" s="973" t="s">
        <v>4616</v>
      </c>
      <c r="T9" s="1002">
        <v>541</v>
      </c>
      <c r="U9" s="973" t="s">
        <v>5310</v>
      </c>
      <c r="V9" s="1009" t="s">
        <v>369</v>
      </c>
      <c r="W9" s="973" t="s">
        <v>5349</v>
      </c>
      <c r="X9" s="1002">
        <v>515</v>
      </c>
      <c r="Y9" s="973" t="s">
        <v>4617</v>
      </c>
      <c r="Z9" s="1002">
        <v>455</v>
      </c>
      <c r="AA9" s="973" t="s">
        <v>4618</v>
      </c>
      <c r="AB9" s="1002">
        <v>439</v>
      </c>
      <c r="AC9" s="973" t="s">
        <v>4619</v>
      </c>
      <c r="AD9" s="1002" t="s">
        <v>369</v>
      </c>
      <c r="AE9" s="973" t="s">
        <v>4620</v>
      </c>
      <c r="AF9" s="1002" t="s">
        <v>369</v>
      </c>
      <c r="AG9" s="964" t="s">
        <v>4621</v>
      </c>
      <c r="AH9" s="1002" t="s">
        <v>369</v>
      </c>
      <c r="AI9" s="964" t="s">
        <v>4622</v>
      </c>
      <c r="AJ9" s="1002" t="s">
        <v>369</v>
      </c>
      <c r="AK9" s="964" t="s">
        <v>4623</v>
      </c>
      <c r="AL9" s="1002" t="s">
        <v>369</v>
      </c>
      <c r="AM9" s="964" t="s">
        <v>4624</v>
      </c>
      <c r="AN9" s="1002" t="s">
        <v>369</v>
      </c>
      <c r="AO9" s="964" t="s">
        <v>4625</v>
      </c>
      <c r="AP9" s="1002" t="s">
        <v>369</v>
      </c>
      <c r="AQ9" s="964" t="s">
        <v>4626</v>
      </c>
      <c r="AR9" s="1002"/>
      <c r="BI9" s="973" t="s">
        <v>4627</v>
      </c>
      <c r="BJ9" s="1005" t="s">
        <v>369</v>
      </c>
      <c r="BK9" s="964" t="s">
        <v>4628</v>
      </c>
      <c r="BL9" s="1005" t="s">
        <v>369</v>
      </c>
    </row>
    <row r="10" spans="1:64">
      <c r="B10" s="974" t="s">
        <v>377</v>
      </c>
      <c r="C10" s="973" t="s">
        <v>4629</v>
      </c>
      <c r="D10" s="1002" t="s">
        <v>369</v>
      </c>
      <c r="E10" s="973" t="s">
        <v>4630</v>
      </c>
      <c r="F10" s="1002" t="s">
        <v>369</v>
      </c>
      <c r="G10" s="973" t="s">
        <v>4631</v>
      </c>
      <c r="H10" s="1002" t="s">
        <v>369</v>
      </c>
      <c r="I10" s="973" t="s">
        <v>4632</v>
      </c>
      <c r="J10" s="1002" t="s">
        <v>369</v>
      </c>
      <c r="K10" s="973" t="s">
        <v>4633</v>
      </c>
      <c r="L10" s="1002" t="s">
        <v>369</v>
      </c>
      <c r="M10" s="973" t="s">
        <v>4634</v>
      </c>
      <c r="N10" s="1002" t="s">
        <v>369</v>
      </c>
      <c r="O10" s="973" t="s">
        <v>4635</v>
      </c>
      <c r="P10" s="1002" t="s">
        <v>369</v>
      </c>
      <c r="Q10" s="973" t="s">
        <v>4636</v>
      </c>
      <c r="R10" s="1002" t="s">
        <v>369</v>
      </c>
      <c r="S10" s="973" t="s">
        <v>4637</v>
      </c>
      <c r="T10" s="1002" t="s">
        <v>369</v>
      </c>
      <c r="U10" s="973" t="s">
        <v>4638</v>
      </c>
      <c r="V10" s="1009" t="s">
        <v>369</v>
      </c>
      <c r="W10" s="973" t="s">
        <v>5350</v>
      </c>
      <c r="X10" s="1002">
        <v>475</v>
      </c>
      <c r="Y10" s="973" t="s">
        <v>4639</v>
      </c>
      <c r="Z10" s="1002">
        <v>415</v>
      </c>
      <c r="AA10" s="973" t="s">
        <v>4640</v>
      </c>
      <c r="AB10" s="1002" t="s">
        <v>369</v>
      </c>
      <c r="AC10" s="973" t="s">
        <v>4641</v>
      </c>
      <c r="AD10" s="1002" t="s">
        <v>369</v>
      </c>
      <c r="AE10" s="973" t="s">
        <v>4642</v>
      </c>
      <c r="AF10" s="1002" t="s">
        <v>369</v>
      </c>
      <c r="AG10" s="964" t="s">
        <v>4643</v>
      </c>
      <c r="AH10" s="1002" t="s">
        <v>369</v>
      </c>
      <c r="AI10" s="964" t="s">
        <v>4644</v>
      </c>
      <c r="AJ10" s="1002" t="s">
        <v>369</v>
      </c>
      <c r="AK10" s="964" t="s">
        <v>4645</v>
      </c>
      <c r="AL10" s="1002">
        <v>361</v>
      </c>
      <c r="AM10" s="964" t="s">
        <v>4646</v>
      </c>
      <c r="AN10" s="1002">
        <v>349</v>
      </c>
      <c r="AO10" s="964" t="s">
        <v>4647</v>
      </c>
      <c r="AP10" s="1002" t="s">
        <v>369</v>
      </c>
      <c r="AQ10" s="964" t="s">
        <v>4648</v>
      </c>
      <c r="AR10" s="1002"/>
      <c r="BI10" s="973" t="s">
        <v>4649</v>
      </c>
      <c r="BJ10" s="1005" t="s">
        <v>369</v>
      </c>
      <c r="BK10" s="964" t="s">
        <v>4650</v>
      </c>
      <c r="BL10" s="1005" t="s">
        <v>369</v>
      </c>
    </row>
    <row r="11" spans="1:64" ht="15.75" thickBot="1">
      <c r="B11" s="975" t="s">
        <v>6300</v>
      </c>
      <c r="C11" s="976"/>
      <c r="D11" s="1003"/>
      <c r="E11" s="976"/>
      <c r="F11" s="1003"/>
      <c r="G11" s="976"/>
      <c r="H11" s="1003"/>
      <c r="I11" s="976"/>
      <c r="J11" s="1003"/>
      <c r="K11" s="976"/>
      <c r="L11" s="1003"/>
      <c r="M11" s="976"/>
      <c r="N11" s="1003"/>
      <c r="O11" s="976"/>
      <c r="P11" s="1003"/>
      <c r="Q11" s="976"/>
      <c r="R11" s="1003"/>
      <c r="S11" s="976"/>
      <c r="T11" s="1003" t="s">
        <v>369</v>
      </c>
      <c r="U11" s="976"/>
      <c r="V11" s="1010" t="s">
        <v>369</v>
      </c>
      <c r="W11" s="976"/>
      <c r="X11" s="1003"/>
      <c r="Y11" s="976"/>
      <c r="Z11" s="1003"/>
      <c r="AA11" s="976"/>
      <c r="AB11" s="1003"/>
      <c r="AC11" s="976"/>
      <c r="AD11" s="1003"/>
      <c r="AE11" s="978"/>
      <c r="AF11" s="1003"/>
      <c r="AG11" s="978"/>
      <c r="AH11" s="1003"/>
      <c r="AI11" s="978"/>
      <c r="AJ11" s="1003"/>
      <c r="AK11" s="978"/>
      <c r="AL11" s="1003"/>
      <c r="AM11" s="978"/>
      <c r="AN11" s="1003"/>
      <c r="AO11" s="978"/>
      <c r="AP11" s="1003"/>
      <c r="AQ11" s="978"/>
      <c r="AR11" s="1003"/>
      <c r="AS11" s="983"/>
      <c r="AT11" s="1013"/>
      <c r="AU11" s="983"/>
      <c r="AV11" s="1013"/>
      <c r="AW11" s="983"/>
      <c r="AX11" s="1013"/>
      <c r="AY11" s="983"/>
      <c r="AZ11" s="1013"/>
      <c r="BA11" s="983"/>
      <c r="BB11" s="1013"/>
      <c r="BC11" s="983"/>
      <c r="BD11" s="1013"/>
      <c r="BE11" s="983"/>
      <c r="BF11" s="1013"/>
      <c r="BG11" s="983"/>
      <c r="BH11" s="1013"/>
      <c r="BI11" s="976"/>
      <c r="BJ11" s="1006"/>
      <c r="BK11" s="978"/>
      <c r="BL11" s="1006"/>
    </row>
    <row r="12" spans="1:64" ht="15.75" thickBot="1">
      <c r="B12" s="975" t="s">
        <v>174</v>
      </c>
      <c r="C12" s="976" t="s">
        <v>4651</v>
      </c>
      <c r="D12" s="1003" t="s">
        <v>369</v>
      </c>
      <c r="E12" s="976" t="s">
        <v>4652</v>
      </c>
      <c r="F12" s="1003">
        <v>946</v>
      </c>
      <c r="G12" s="976" t="s">
        <v>4653</v>
      </c>
      <c r="H12" s="1003">
        <v>1004</v>
      </c>
      <c r="I12" s="976" t="s">
        <v>4654</v>
      </c>
      <c r="J12" s="1003">
        <v>1015</v>
      </c>
      <c r="K12" s="976" t="s">
        <v>4655</v>
      </c>
      <c r="L12" s="1003">
        <v>861</v>
      </c>
      <c r="M12" s="976" t="s">
        <v>4656</v>
      </c>
      <c r="N12" s="1003">
        <v>838</v>
      </c>
      <c r="O12" s="976" t="s">
        <v>4657</v>
      </c>
      <c r="P12" s="1003">
        <v>808</v>
      </c>
      <c r="Q12" s="976" t="s">
        <v>4658</v>
      </c>
      <c r="R12" s="1003">
        <v>1245</v>
      </c>
      <c r="S12" s="976" t="s">
        <v>4659</v>
      </c>
      <c r="T12" s="1003">
        <v>805</v>
      </c>
      <c r="U12" s="976" t="s">
        <v>4660</v>
      </c>
      <c r="V12" s="1010">
        <v>815</v>
      </c>
      <c r="W12" s="976" t="s">
        <v>5351</v>
      </c>
      <c r="X12" s="1003">
        <v>767</v>
      </c>
      <c r="Y12" s="976" t="s">
        <v>4661</v>
      </c>
      <c r="Z12" s="1003">
        <v>648</v>
      </c>
      <c r="AA12" s="976" t="s">
        <v>4662</v>
      </c>
      <c r="AB12" s="1003">
        <v>681</v>
      </c>
      <c r="AC12" s="976" t="s">
        <v>4663</v>
      </c>
      <c r="AD12" s="1003" t="s">
        <v>369</v>
      </c>
      <c r="AE12" s="978" t="s">
        <v>4664</v>
      </c>
      <c r="AF12" s="1003" t="s">
        <v>369</v>
      </c>
      <c r="AG12" s="978" t="s">
        <v>4665</v>
      </c>
      <c r="AH12" s="1003" t="s">
        <v>369</v>
      </c>
      <c r="AI12" s="978" t="s">
        <v>4666</v>
      </c>
      <c r="AJ12" s="1003" t="s">
        <v>369</v>
      </c>
      <c r="AK12" s="978" t="s">
        <v>4667</v>
      </c>
      <c r="AL12" s="1003">
        <v>620</v>
      </c>
      <c r="AM12" s="978" t="s">
        <v>4668</v>
      </c>
      <c r="AN12" s="1003" t="s">
        <v>369</v>
      </c>
      <c r="AO12" s="978" t="s">
        <v>4669</v>
      </c>
      <c r="AP12" s="1003" t="s">
        <v>369</v>
      </c>
      <c r="AQ12" s="978" t="s">
        <v>4670</v>
      </c>
      <c r="AR12" s="1003"/>
      <c r="AS12" s="976"/>
      <c r="AT12" s="1014"/>
      <c r="AU12" s="978"/>
      <c r="AV12" s="1014"/>
      <c r="AW12" s="978"/>
      <c r="AX12" s="1014"/>
      <c r="AY12" s="978"/>
      <c r="AZ12" s="1014"/>
      <c r="BA12" s="978"/>
      <c r="BB12" s="1014"/>
      <c r="BC12" s="978"/>
      <c r="BD12" s="1014"/>
      <c r="BE12" s="978"/>
      <c r="BF12" s="1014"/>
      <c r="BG12" s="978"/>
      <c r="BH12" s="977"/>
      <c r="BI12" s="976" t="s">
        <v>4671</v>
      </c>
      <c r="BJ12" s="1006" t="s">
        <v>369</v>
      </c>
      <c r="BK12" s="978" t="s">
        <v>4672</v>
      </c>
      <c r="BL12" s="1006" t="s">
        <v>369</v>
      </c>
    </row>
    <row r="13" spans="1:64">
      <c r="B13" s="969" t="s">
        <v>4673</v>
      </c>
      <c r="C13" s="980" t="s">
        <v>4674</v>
      </c>
      <c r="D13" s="1001" t="s">
        <v>369</v>
      </c>
      <c r="E13" s="980" t="s">
        <v>4675</v>
      </c>
      <c r="F13" s="1001">
        <v>585</v>
      </c>
      <c r="G13" s="980" t="s">
        <v>4676</v>
      </c>
      <c r="H13" s="1001">
        <v>626</v>
      </c>
      <c r="I13" s="980" t="s">
        <v>4677</v>
      </c>
      <c r="J13" s="1001">
        <v>656</v>
      </c>
      <c r="K13" s="980" t="s">
        <v>4678</v>
      </c>
      <c r="L13" s="1001">
        <v>564</v>
      </c>
      <c r="M13" s="980" t="s">
        <v>4679</v>
      </c>
      <c r="N13" s="1001">
        <v>553</v>
      </c>
      <c r="O13" s="980" t="s">
        <v>4680</v>
      </c>
      <c r="P13" s="1001">
        <v>533</v>
      </c>
      <c r="Q13" s="980" t="s">
        <v>4681</v>
      </c>
      <c r="R13" s="1001">
        <v>733</v>
      </c>
      <c r="S13" s="980" t="s">
        <v>4682</v>
      </c>
      <c r="T13" s="1001">
        <v>505</v>
      </c>
      <c r="U13" s="980" t="s">
        <v>4683</v>
      </c>
      <c r="V13" s="1008">
        <v>515</v>
      </c>
      <c r="W13" s="980" t="s">
        <v>5352</v>
      </c>
      <c r="X13" s="1001">
        <v>482</v>
      </c>
      <c r="Y13" s="980" t="s">
        <v>4684</v>
      </c>
      <c r="Z13" s="1001">
        <v>420</v>
      </c>
      <c r="AA13" s="980" t="s">
        <v>4685</v>
      </c>
      <c r="AB13" s="1001">
        <v>409</v>
      </c>
      <c r="AC13" s="980" t="s">
        <v>4686</v>
      </c>
      <c r="AD13" s="1001" t="s">
        <v>369</v>
      </c>
      <c r="AE13" s="981" t="s">
        <v>4687</v>
      </c>
      <c r="AF13" s="1001" t="s">
        <v>369</v>
      </c>
      <c r="AG13" s="981" t="s">
        <v>4688</v>
      </c>
      <c r="AH13" s="1001">
        <v>541</v>
      </c>
      <c r="AI13" s="981" t="s">
        <v>4689</v>
      </c>
      <c r="AJ13" s="1001">
        <v>523</v>
      </c>
      <c r="AK13" s="981" t="s">
        <v>4690</v>
      </c>
      <c r="AL13" s="1001">
        <v>377</v>
      </c>
      <c r="AM13" s="981" t="s">
        <v>4691</v>
      </c>
      <c r="AN13" s="1001" t="s">
        <v>369</v>
      </c>
      <c r="AO13" s="981" t="s">
        <v>4692</v>
      </c>
      <c r="AP13" s="1001" t="s">
        <v>369</v>
      </c>
      <c r="AQ13" s="981" t="s">
        <v>4693</v>
      </c>
      <c r="AR13" s="1001"/>
      <c r="AS13" s="981" t="s">
        <v>4694</v>
      </c>
      <c r="AT13" s="1001" t="s">
        <v>369</v>
      </c>
      <c r="AU13" s="981" t="s">
        <v>4695</v>
      </c>
      <c r="AV13" s="1001" t="s">
        <v>369</v>
      </c>
      <c r="AW13" s="981" t="s">
        <v>4696</v>
      </c>
      <c r="AX13" s="1001">
        <v>300</v>
      </c>
      <c r="AY13" s="981" t="s">
        <v>4697</v>
      </c>
      <c r="AZ13" s="1001">
        <v>321</v>
      </c>
      <c r="BA13" s="981" t="s">
        <v>4698</v>
      </c>
      <c r="BB13" s="1001">
        <v>361</v>
      </c>
      <c r="BC13" s="981" t="s">
        <v>4699</v>
      </c>
      <c r="BD13" s="1001">
        <v>429</v>
      </c>
      <c r="BE13" s="981" t="s">
        <v>4700</v>
      </c>
      <c r="BF13" s="1001"/>
      <c r="BG13" s="981" t="s">
        <v>4701</v>
      </c>
      <c r="BH13" s="1015"/>
      <c r="BI13" s="980" t="s">
        <v>4702</v>
      </c>
      <c r="BJ13" s="1004" t="s">
        <v>369</v>
      </c>
      <c r="BK13" s="981" t="s">
        <v>4703</v>
      </c>
      <c r="BL13" s="1004" t="s">
        <v>369</v>
      </c>
    </row>
    <row r="14" spans="1:64">
      <c r="B14" s="972" t="s">
        <v>4704</v>
      </c>
      <c r="C14" s="982" t="s">
        <v>4705</v>
      </c>
      <c r="D14" s="1002" t="s">
        <v>369</v>
      </c>
      <c r="E14" s="982" t="s">
        <v>4706</v>
      </c>
      <c r="F14" s="1002">
        <v>675</v>
      </c>
      <c r="G14" s="982" t="s">
        <v>4707</v>
      </c>
      <c r="H14" s="1002">
        <v>722</v>
      </c>
      <c r="I14" s="982" t="s">
        <v>4708</v>
      </c>
      <c r="J14" s="1002">
        <v>756</v>
      </c>
      <c r="K14" s="982" t="s">
        <v>4709</v>
      </c>
      <c r="L14" s="1002">
        <v>650</v>
      </c>
      <c r="M14" s="982" t="s">
        <v>4710</v>
      </c>
      <c r="N14" s="1002">
        <v>638</v>
      </c>
      <c r="O14" s="982" t="s">
        <v>4711</v>
      </c>
      <c r="P14" s="1002">
        <v>615</v>
      </c>
      <c r="Q14" s="982" t="s">
        <v>4712</v>
      </c>
      <c r="R14" s="1002" t="s">
        <v>369</v>
      </c>
      <c r="S14" s="982" t="s">
        <v>4713</v>
      </c>
      <c r="T14" s="1002">
        <v>582</v>
      </c>
      <c r="U14" s="982" t="s">
        <v>4714</v>
      </c>
      <c r="V14" s="1009">
        <v>592</v>
      </c>
      <c r="W14" s="982" t="s">
        <v>5353</v>
      </c>
      <c r="X14" s="1002">
        <v>556</v>
      </c>
      <c r="Y14" s="982" t="s">
        <v>4715</v>
      </c>
      <c r="Z14" s="1002">
        <v>484</v>
      </c>
      <c r="AA14" s="982" t="s">
        <v>4716</v>
      </c>
      <c r="AB14" s="1002">
        <v>472</v>
      </c>
      <c r="AC14" s="982" t="s">
        <v>4717</v>
      </c>
      <c r="AD14" s="1002" t="s">
        <v>369</v>
      </c>
      <c r="AE14" s="983" t="s">
        <v>4718</v>
      </c>
      <c r="AF14" s="1002" t="s">
        <v>369</v>
      </c>
      <c r="AG14" s="983" t="s">
        <v>4719</v>
      </c>
      <c r="AH14" s="1002">
        <v>623</v>
      </c>
      <c r="AI14" s="983" t="s">
        <v>4720</v>
      </c>
      <c r="AJ14" s="1002">
        <v>603</v>
      </c>
      <c r="AK14" s="983" t="s">
        <v>4721</v>
      </c>
      <c r="AL14" s="1002">
        <v>435</v>
      </c>
      <c r="AM14" s="983" t="s">
        <v>4722</v>
      </c>
      <c r="AN14" s="1002" t="s">
        <v>369</v>
      </c>
      <c r="AO14" s="983" t="s">
        <v>4723</v>
      </c>
      <c r="AP14" s="1002" t="s">
        <v>369</v>
      </c>
      <c r="AQ14" s="983" t="s">
        <v>4724</v>
      </c>
      <c r="AR14" s="1002"/>
      <c r="AS14" s="983" t="s">
        <v>4725</v>
      </c>
      <c r="AT14" s="1002" t="s">
        <v>369</v>
      </c>
      <c r="AU14" s="983" t="s">
        <v>4726</v>
      </c>
      <c r="AV14" s="1002" t="s">
        <v>369</v>
      </c>
      <c r="AW14" s="983" t="s">
        <v>4727</v>
      </c>
      <c r="AX14" s="1002">
        <v>346</v>
      </c>
      <c r="AY14" s="983" t="s">
        <v>4728</v>
      </c>
      <c r="AZ14" s="1002">
        <v>370</v>
      </c>
      <c r="BA14" s="983" t="s">
        <v>4729</v>
      </c>
      <c r="BB14" s="1002">
        <v>416</v>
      </c>
      <c r="BC14" s="983" t="s">
        <v>4730</v>
      </c>
      <c r="BD14" s="1002">
        <v>495</v>
      </c>
      <c r="BE14" s="983" t="s">
        <v>4731</v>
      </c>
      <c r="BF14" s="1002"/>
      <c r="BG14" s="983" t="s">
        <v>4732</v>
      </c>
      <c r="BH14" s="1016"/>
      <c r="BI14" s="982" t="s">
        <v>4733</v>
      </c>
      <c r="BJ14" s="1005" t="s">
        <v>369</v>
      </c>
      <c r="BK14" s="983" t="s">
        <v>4734</v>
      </c>
      <c r="BL14" s="1005" t="s">
        <v>369</v>
      </c>
    </row>
    <row r="15" spans="1:64" ht="15.75" thickBot="1">
      <c r="B15" s="975" t="s">
        <v>4735</v>
      </c>
      <c r="C15" s="976" t="s">
        <v>5272</v>
      </c>
      <c r="D15" s="1003" t="s">
        <v>369</v>
      </c>
      <c r="E15" s="976" t="s">
        <v>5273</v>
      </c>
      <c r="F15" s="1003">
        <v>730</v>
      </c>
      <c r="G15" s="976" t="s">
        <v>5274</v>
      </c>
      <c r="H15" s="1003">
        <v>782</v>
      </c>
      <c r="I15" s="976" t="s">
        <v>5275</v>
      </c>
      <c r="J15" s="1003">
        <v>819</v>
      </c>
      <c r="K15" s="976" t="s">
        <v>5276</v>
      </c>
      <c r="L15" s="1003">
        <v>704</v>
      </c>
      <c r="M15" s="976" t="s">
        <v>5277</v>
      </c>
      <c r="N15" s="1003">
        <v>691</v>
      </c>
      <c r="O15" s="976" t="s">
        <v>5278</v>
      </c>
      <c r="P15" s="1003">
        <v>667</v>
      </c>
      <c r="Q15" s="976" t="s">
        <v>5279</v>
      </c>
      <c r="R15" s="1003" t="s">
        <v>369</v>
      </c>
      <c r="S15" s="976" t="s">
        <v>5280</v>
      </c>
      <c r="T15" s="1003">
        <v>631</v>
      </c>
      <c r="U15" s="976" t="s">
        <v>5281</v>
      </c>
      <c r="V15" s="1010">
        <v>641</v>
      </c>
      <c r="W15" s="976" t="s">
        <v>5354</v>
      </c>
      <c r="X15" s="1003">
        <v>603</v>
      </c>
      <c r="Y15" s="976" t="s">
        <v>5282</v>
      </c>
      <c r="Z15" s="1003">
        <v>524</v>
      </c>
      <c r="AA15" s="976" t="s">
        <v>5283</v>
      </c>
      <c r="AB15" s="1003">
        <v>511</v>
      </c>
      <c r="AC15" s="976" t="s">
        <v>5284</v>
      </c>
      <c r="AD15" s="1003" t="s">
        <v>369</v>
      </c>
      <c r="AE15" s="978" t="s">
        <v>5285</v>
      </c>
      <c r="AF15" s="1003" t="s">
        <v>369</v>
      </c>
      <c r="AG15" s="978" t="s">
        <v>5286</v>
      </c>
      <c r="AH15" s="1003">
        <v>675</v>
      </c>
      <c r="AI15" s="978" t="s">
        <v>5287</v>
      </c>
      <c r="AJ15" s="1003">
        <v>654</v>
      </c>
      <c r="AK15" s="978" t="s">
        <v>5288</v>
      </c>
      <c r="AL15" s="1003">
        <v>471</v>
      </c>
      <c r="AM15" s="978" t="s">
        <v>5289</v>
      </c>
      <c r="AN15" s="1003" t="s">
        <v>369</v>
      </c>
      <c r="AO15" s="978" t="s">
        <v>5290</v>
      </c>
      <c r="AP15" s="1003" t="s">
        <v>369</v>
      </c>
      <c r="AQ15" s="978" t="s">
        <v>5291</v>
      </c>
      <c r="AR15" s="1003"/>
      <c r="AS15" s="978" t="s">
        <v>5292</v>
      </c>
      <c r="AT15" s="1003" t="s">
        <v>369</v>
      </c>
      <c r="AU15" s="978" t="s">
        <v>5293</v>
      </c>
      <c r="AV15" s="1003" t="s">
        <v>369</v>
      </c>
      <c r="AW15" s="978" t="s">
        <v>5294</v>
      </c>
      <c r="AX15" s="1003" t="s">
        <v>369</v>
      </c>
      <c r="AY15" s="978" t="s">
        <v>5295</v>
      </c>
      <c r="AZ15" s="1003" t="s">
        <v>369</v>
      </c>
      <c r="BA15" s="978" t="s">
        <v>5296</v>
      </c>
      <c r="BB15" s="1003">
        <v>451</v>
      </c>
      <c r="BC15" s="978" t="s">
        <v>5297</v>
      </c>
      <c r="BD15" s="1003">
        <v>536</v>
      </c>
      <c r="BE15" s="978" t="s">
        <v>5298</v>
      </c>
      <c r="BF15" s="1003"/>
      <c r="BG15" s="978" t="s">
        <v>5299</v>
      </c>
      <c r="BH15" s="1017"/>
      <c r="BI15" s="976" t="s">
        <v>5300</v>
      </c>
      <c r="BJ15" s="1006" t="s">
        <v>369</v>
      </c>
      <c r="BK15" s="978" t="s">
        <v>5301</v>
      </c>
      <c r="BL15" s="1006" t="s">
        <v>369</v>
      </c>
    </row>
    <row r="16" spans="1:64">
      <c r="A16" s="984"/>
      <c r="B16" s="985" t="s">
        <v>93</v>
      </c>
      <c r="C16" s="980" t="s">
        <v>5302</v>
      </c>
      <c r="D16" s="1001">
        <v>688</v>
      </c>
      <c r="E16" s="980" t="s">
        <v>4736</v>
      </c>
      <c r="F16" s="1001">
        <v>570</v>
      </c>
      <c r="G16" s="980" t="s">
        <v>4737</v>
      </c>
      <c r="H16" s="1001">
        <v>597</v>
      </c>
      <c r="I16" s="980" t="s">
        <v>4738</v>
      </c>
      <c r="J16" s="1001">
        <v>628</v>
      </c>
      <c r="K16" s="980" t="s">
        <v>4739</v>
      </c>
      <c r="L16" s="1001">
        <v>532</v>
      </c>
      <c r="M16" s="980" t="s">
        <v>4740</v>
      </c>
      <c r="N16" s="1001">
        <v>521</v>
      </c>
      <c r="O16" s="980" t="s">
        <v>4741</v>
      </c>
      <c r="P16" s="1001">
        <v>500</v>
      </c>
      <c r="Q16" s="980" t="s">
        <v>4742</v>
      </c>
      <c r="R16" s="1001">
        <v>709</v>
      </c>
      <c r="S16" s="980" t="s">
        <v>4743</v>
      </c>
      <c r="T16" s="1001">
        <v>471</v>
      </c>
      <c r="U16" s="980" t="s">
        <v>4744</v>
      </c>
      <c r="V16" s="1008">
        <v>481</v>
      </c>
      <c r="W16" s="980" t="s">
        <v>5355</v>
      </c>
      <c r="X16" s="1001">
        <v>447</v>
      </c>
      <c r="Y16" s="980" t="s">
        <v>4745</v>
      </c>
      <c r="Z16" s="1001">
        <v>382</v>
      </c>
      <c r="AA16" s="980" t="s">
        <v>4746</v>
      </c>
      <c r="AB16" s="1001">
        <v>371</v>
      </c>
      <c r="AC16" s="980" t="s">
        <v>4747</v>
      </c>
      <c r="AD16" s="1001">
        <v>367</v>
      </c>
      <c r="AE16" s="981" t="s">
        <v>4748</v>
      </c>
      <c r="AF16" s="1001" t="s">
        <v>369</v>
      </c>
      <c r="AG16" s="981" t="s">
        <v>4749</v>
      </c>
      <c r="AH16" s="1001" t="s">
        <v>369</v>
      </c>
      <c r="AI16" s="981" t="s">
        <v>4750</v>
      </c>
      <c r="AJ16" s="1001" t="s">
        <v>369</v>
      </c>
      <c r="AK16" s="981" t="s">
        <v>4751</v>
      </c>
      <c r="AL16" s="1001">
        <v>338</v>
      </c>
      <c r="AM16" s="981" t="s">
        <v>4752</v>
      </c>
      <c r="AN16" s="1001">
        <v>314</v>
      </c>
      <c r="AO16" s="981" t="s">
        <v>4753</v>
      </c>
      <c r="AP16" s="1001">
        <v>267</v>
      </c>
      <c r="AQ16" s="981" t="s">
        <v>4754</v>
      </c>
      <c r="AR16" s="1001">
        <v>260</v>
      </c>
      <c r="AS16" s="981" t="s">
        <v>4755</v>
      </c>
      <c r="AT16" s="1001">
        <v>208</v>
      </c>
      <c r="AU16" s="981" t="s">
        <v>4756</v>
      </c>
      <c r="AV16" s="1001">
        <v>226</v>
      </c>
      <c r="AW16" s="981" t="s">
        <v>4757</v>
      </c>
      <c r="AX16" s="1001">
        <v>257</v>
      </c>
      <c r="AY16" s="981" t="s">
        <v>4758</v>
      </c>
      <c r="AZ16" s="1001">
        <v>279</v>
      </c>
      <c r="BA16" s="981" t="s">
        <v>4759</v>
      </c>
      <c r="BB16" s="1001">
        <v>321</v>
      </c>
      <c r="BC16" s="981" t="s">
        <v>4760</v>
      </c>
      <c r="BD16" s="1001" t="s">
        <v>369</v>
      </c>
      <c r="BE16" s="981" t="s">
        <v>4761</v>
      </c>
      <c r="BF16" s="1001" t="s">
        <v>369</v>
      </c>
      <c r="BG16" s="981" t="s">
        <v>4762</v>
      </c>
      <c r="BH16" s="1015" t="s">
        <v>369</v>
      </c>
      <c r="BI16" s="980" t="s">
        <v>4763</v>
      </c>
      <c r="BJ16" s="1004">
        <v>484</v>
      </c>
      <c r="BK16" s="981" t="s">
        <v>4764</v>
      </c>
      <c r="BL16" s="1004">
        <v>502</v>
      </c>
    </row>
    <row r="17" spans="1:64">
      <c r="A17" s="984"/>
      <c r="B17" s="986" t="s">
        <v>6847</v>
      </c>
      <c r="C17" s="983" t="s">
        <v>369</v>
      </c>
      <c r="D17" s="1002" t="s">
        <v>369</v>
      </c>
      <c r="E17" s="983" t="s">
        <v>369</v>
      </c>
      <c r="F17" s="1002" t="s">
        <v>369</v>
      </c>
      <c r="G17" s="983" t="s">
        <v>369</v>
      </c>
      <c r="H17" s="1002" t="s">
        <v>369</v>
      </c>
      <c r="I17" s="983" t="s">
        <v>369</v>
      </c>
      <c r="J17" s="1002" t="s">
        <v>369</v>
      </c>
      <c r="K17" s="983" t="s">
        <v>369</v>
      </c>
      <c r="L17" s="1002" t="s">
        <v>369</v>
      </c>
      <c r="M17" s="983" t="s">
        <v>369</v>
      </c>
      <c r="N17" s="1002" t="s">
        <v>369</v>
      </c>
      <c r="O17" s="983" t="s">
        <v>369</v>
      </c>
      <c r="P17" s="1002" t="s">
        <v>369</v>
      </c>
      <c r="Q17" s="983" t="s">
        <v>369</v>
      </c>
      <c r="R17" s="1002" t="s">
        <v>369</v>
      </c>
      <c r="S17" s="983" t="s">
        <v>369</v>
      </c>
      <c r="T17" s="1002" t="s">
        <v>369</v>
      </c>
      <c r="U17" s="983" t="s">
        <v>369</v>
      </c>
      <c r="V17" s="1002" t="s">
        <v>369</v>
      </c>
      <c r="W17" s="983" t="s">
        <v>369</v>
      </c>
      <c r="X17" s="1002" t="s">
        <v>369</v>
      </c>
      <c r="Y17" s="983" t="s">
        <v>369</v>
      </c>
      <c r="Z17" s="1002" t="s">
        <v>369</v>
      </c>
      <c r="AA17" s="983" t="s">
        <v>369</v>
      </c>
      <c r="AB17" s="1002" t="s">
        <v>369</v>
      </c>
      <c r="AC17" s="982" t="s">
        <v>369</v>
      </c>
      <c r="AD17" s="1002" t="s">
        <v>369</v>
      </c>
      <c r="AE17" s="983" t="s">
        <v>369</v>
      </c>
      <c r="AF17" s="1002" t="s">
        <v>369</v>
      </c>
      <c r="AG17" s="983" t="s">
        <v>369</v>
      </c>
      <c r="AH17" s="1002" t="s">
        <v>369</v>
      </c>
      <c r="AI17" s="983" t="s">
        <v>369</v>
      </c>
      <c r="AJ17" s="1002" t="s">
        <v>369</v>
      </c>
      <c r="AK17" s="983" t="s">
        <v>6848</v>
      </c>
      <c r="AL17" s="1002">
        <v>341</v>
      </c>
      <c r="AM17" s="983" t="s">
        <v>369</v>
      </c>
      <c r="AN17" s="1002" t="s">
        <v>369</v>
      </c>
      <c r="AO17" s="983" t="s">
        <v>369</v>
      </c>
      <c r="AP17" s="1002" t="s">
        <v>369</v>
      </c>
      <c r="AQ17" s="983" t="s">
        <v>369</v>
      </c>
      <c r="AR17" s="1002" t="s">
        <v>369</v>
      </c>
      <c r="AS17" s="983" t="s">
        <v>369</v>
      </c>
      <c r="AT17" s="1002" t="s">
        <v>369</v>
      </c>
      <c r="AU17" s="983" t="s">
        <v>369</v>
      </c>
      <c r="AV17" s="1002" t="s">
        <v>369</v>
      </c>
      <c r="AW17" s="983" t="s">
        <v>369</v>
      </c>
      <c r="AX17" s="1002" t="s">
        <v>369</v>
      </c>
      <c r="AY17" s="983" t="s">
        <v>369</v>
      </c>
      <c r="AZ17" s="1002" t="s">
        <v>369</v>
      </c>
      <c r="BA17" s="983" t="s">
        <v>369</v>
      </c>
      <c r="BB17" s="1002" t="s">
        <v>369</v>
      </c>
      <c r="BC17" s="983" t="s">
        <v>369</v>
      </c>
      <c r="BD17" s="1002" t="s">
        <v>369</v>
      </c>
      <c r="BE17" s="983" t="s">
        <v>369</v>
      </c>
      <c r="BF17" s="1002" t="s">
        <v>369</v>
      </c>
      <c r="BG17" s="983" t="s">
        <v>369</v>
      </c>
      <c r="BH17" s="1002" t="s">
        <v>369</v>
      </c>
      <c r="BI17" s="983" t="s">
        <v>369</v>
      </c>
      <c r="BJ17" s="1002" t="s">
        <v>369</v>
      </c>
      <c r="BK17" s="983" t="s">
        <v>369</v>
      </c>
      <c r="BL17" s="1002" t="s">
        <v>369</v>
      </c>
    </row>
    <row r="18" spans="1:64">
      <c r="A18" s="984"/>
      <c r="B18" s="972" t="s">
        <v>98</v>
      </c>
      <c r="C18" s="982" t="s">
        <v>5303</v>
      </c>
      <c r="D18" s="1002">
        <v>702</v>
      </c>
      <c r="E18" s="982" t="s">
        <v>4765</v>
      </c>
      <c r="F18" s="1002">
        <v>581</v>
      </c>
      <c r="G18" s="982" t="s">
        <v>4766</v>
      </c>
      <c r="H18" s="1002">
        <v>609</v>
      </c>
      <c r="I18" s="982" t="s">
        <v>4767</v>
      </c>
      <c r="J18" s="1002">
        <v>641</v>
      </c>
      <c r="K18" s="982" t="s">
        <v>4768</v>
      </c>
      <c r="L18" s="1002">
        <v>543</v>
      </c>
      <c r="M18" s="982" t="s">
        <v>4769</v>
      </c>
      <c r="N18" s="1002">
        <v>532</v>
      </c>
      <c r="O18" s="982" t="s">
        <v>4770</v>
      </c>
      <c r="P18" s="1002">
        <v>510</v>
      </c>
      <c r="Q18" s="982" t="s">
        <v>4771</v>
      </c>
      <c r="R18" s="1002">
        <v>723</v>
      </c>
      <c r="S18" s="982" t="s">
        <v>4772</v>
      </c>
      <c r="T18" s="1002">
        <v>481</v>
      </c>
      <c r="U18" s="982" t="s">
        <v>4773</v>
      </c>
      <c r="V18" s="1009">
        <v>491</v>
      </c>
      <c r="W18" s="982" t="s">
        <v>5356</v>
      </c>
      <c r="X18" s="1002">
        <v>457</v>
      </c>
      <c r="Y18" s="982" t="s">
        <v>4774</v>
      </c>
      <c r="Z18" s="1002">
        <v>395</v>
      </c>
      <c r="AA18" s="982" t="s">
        <v>4775</v>
      </c>
      <c r="AB18" s="1002">
        <v>379</v>
      </c>
      <c r="AC18" s="982" t="s">
        <v>4776</v>
      </c>
      <c r="AD18" s="1002">
        <v>372</v>
      </c>
      <c r="AE18" s="983" t="s">
        <v>4777</v>
      </c>
      <c r="AF18" s="1002" t="s">
        <v>369</v>
      </c>
      <c r="AG18" s="983" t="s">
        <v>4778</v>
      </c>
      <c r="AH18" s="1002">
        <v>519</v>
      </c>
      <c r="AI18" s="983" t="s">
        <v>4779</v>
      </c>
      <c r="AJ18" s="1002">
        <v>502</v>
      </c>
      <c r="AK18" s="983" t="s">
        <v>4780</v>
      </c>
      <c r="AL18" s="1002">
        <v>346</v>
      </c>
      <c r="AM18" s="983" t="s">
        <v>4781</v>
      </c>
      <c r="AN18" s="1002">
        <v>321</v>
      </c>
      <c r="AO18" s="983" t="s">
        <v>4782</v>
      </c>
      <c r="AP18" s="1002">
        <v>274</v>
      </c>
      <c r="AQ18" s="983" t="s">
        <v>4783</v>
      </c>
      <c r="AR18" s="1002"/>
      <c r="AS18" s="983" t="s">
        <v>4784</v>
      </c>
      <c r="AT18" s="1002">
        <v>214</v>
      </c>
      <c r="AU18" s="983" t="s">
        <v>4785</v>
      </c>
      <c r="AV18" s="1002">
        <v>232</v>
      </c>
      <c r="AW18" s="983" t="s">
        <v>4786</v>
      </c>
      <c r="AX18" s="1002">
        <v>263</v>
      </c>
      <c r="AY18" s="983" t="s">
        <v>4787</v>
      </c>
      <c r="AZ18" s="1002">
        <v>286</v>
      </c>
      <c r="BA18" s="983" t="s">
        <v>4788</v>
      </c>
      <c r="BB18" s="1002">
        <v>328</v>
      </c>
      <c r="BC18" s="983" t="s">
        <v>4789</v>
      </c>
      <c r="BD18" s="1002">
        <v>401</v>
      </c>
      <c r="BE18" s="983" t="s">
        <v>4790</v>
      </c>
      <c r="BF18" s="1002" t="s">
        <v>369</v>
      </c>
      <c r="BG18" s="983" t="s">
        <v>4791</v>
      </c>
      <c r="BH18" s="1016" t="s">
        <v>369</v>
      </c>
      <c r="BI18" s="982" t="s">
        <v>4792</v>
      </c>
      <c r="BJ18" s="1005">
        <v>494</v>
      </c>
      <c r="BK18" s="983" t="s">
        <v>4793</v>
      </c>
      <c r="BL18" s="1005">
        <v>513</v>
      </c>
    </row>
    <row r="19" spans="1:64">
      <c r="A19" s="984"/>
      <c r="B19" s="986" t="s">
        <v>2402</v>
      </c>
      <c r="C19" s="982" t="s">
        <v>5304</v>
      </c>
      <c r="D19" s="1002">
        <v>757</v>
      </c>
      <c r="E19" s="982" t="s">
        <v>4794</v>
      </c>
      <c r="F19" s="1002">
        <v>637</v>
      </c>
      <c r="G19" s="982" t="s">
        <v>4795</v>
      </c>
      <c r="H19" s="1002">
        <v>664</v>
      </c>
      <c r="I19" s="982" t="s">
        <v>4796</v>
      </c>
      <c r="J19" s="1002">
        <v>696</v>
      </c>
      <c r="K19" s="982" t="s">
        <v>4797</v>
      </c>
      <c r="L19" s="1002">
        <v>598</v>
      </c>
      <c r="M19" s="982" t="s">
        <v>4798</v>
      </c>
      <c r="N19" s="1002">
        <v>587</v>
      </c>
      <c r="O19" s="982" t="s">
        <v>4799</v>
      </c>
      <c r="P19" s="1002">
        <v>565</v>
      </c>
      <c r="Q19" s="982" t="s">
        <v>4800</v>
      </c>
      <c r="R19" s="1002">
        <v>778</v>
      </c>
      <c r="S19" s="982" t="s">
        <v>4801</v>
      </c>
      <c r="T19" s="1002">
        <v>536</v>
      </c>
      <c r="U19" s="982" t="s">
        <v>4802</v>
      </c>
      <c r="V19" s="1009">
        <v>546</v>
      </c>
      <c r="W19" s="982" t="s">
        <v>5357</v>
      </c>
      <c r="X19" s="1002">
        <v>512</v>
      </c>
      <c r="Y19" s="982" t="s">
        <v>4803</v>
      </c>
      <c r="Z19" s="1002">
        <v>450</v>
      </c>
      <c r="AA19" s="982" t="s">
        <v>4804</v>
      </c>
      <c r="AB19" s="1002">
        <v>434</v>
      </c>
      <c r="AC19" s="982" t="s">
        <v>4805</v>
      </c>
      <c r="AD19" s="1002">
        <v>427</v>
      </c>
      <c r="AE19" s="983" t="s">
        <v>4806</v>
      </c>
      <c r="AF19" s="1002" t="s">
        <v>369</v>
      </c>
      <c r="AG19" s="983" t="s">
        <v>4807</v>
      </c>
      <c r="AH19" s="1002" t="s">
        <v>369</v>
      </c>
      <c r="AI19" s="983" t="s">
        <v>4808</v>
      </c>
      <c r="AJ19" s="1002" t="s">
        <v>369</v>
      </c>
      <c r="AK19" s="983" t="s">
        <v>4809</v>
      </c>
      <c r="AL19" s="1002">
        <v>401</v>
      </c>
      <c r="AM19" s="983" t="s">
        <v>4810</v>
      </c>
      <c r="AN19" s="1002" t="s">
        <v>369</v>
      </c>
      <c r="AO19" s="983" t="s">
        <v>4811</v>
      </c>
      <c r="AP19" s="1002"/>
      <c r="AQ19" s="983" t="s">
        <v>4812</v>
      </c>
      <c r="AR19" s="1002"/>
      <c r="AS19" s="983" t="s">
        <v>4813</v>
      </c>
      <c r="AT19" s="1002" t="s">
        <v>369</v>
      </c>
      <c r="AU19" s="983" t="s">
        <v>4814</v>
      </c>
      <c r="AV19" s="1002" t="s">
        <v>369</v>
      </c>
      <c r="AW19" s="983" t="s">
        <v>4815</v>
      </c>
      <c r="AX19" s="1002">
        <v>318</v>
      </c>
      <c r="AY19" s="983" t="s">
        <v>4816</v>
      </c>
      <c r="AZ19" s="1002">
        <v>341</v>
      </c>
      <c r="BA19" s="983" t="s">
        <v>4817</v>
      </c>
      <c r="BB19" s="1002" t="s">
        <v>369</v>
      </c>
      <c r="BC19" s="983" t="s">
        <v>4818</v>
      </c>
      <c r="BD19" s="1002" t="s">
        <v>369</v>
      </c>
      <c r="BE19" s="983" t="s">
        <v>4819</v>
      </c>
      <c r="BF19" s="1002" t="s">
        <v>369</v>
      </c>
      <c r="BG19" s="983" t="s">
        <v>4820</v>
      </c>
      <c r="BH19" s="1016" t="s">
        <v>369</v>
      </c>
      <c r="BI19" s="982" t="s">
        <v>4821</v>
      </c>
      <c r="BJ19" s="1005">
        <v>549</v>
      </c>
      <c r="BK19" s="983" t="s">
        <v>4822</v>
      </c>
      <c r="BL19" s="1005">
        <v>568</v>
      </c>
    </row>
    <row r="20" spans="1:64">
      <c r="A20" s="984"/>
      <c r="B20" s="972" t="s">
        <v>102</v>
      </c>
      <c r="C20" s="982" t="s">
        <v>5305</v>
      </c>
      <c r="D20" s="1002">
        <v>718</v>
      </c>
      <c r="E20" s="982" t="s">
        <v>4823</v>
      </c>
      <c r="F20" s="1002">
        <v>595</v>
      </c>
      <c r="G20" s="982" t="s">
        <v>4824</v>
      </c>
      <c r="H20" s="1002">
        <v>622</v>
      </c>
      <c r="I20" s="982" t="s">
        <v>4825</v>
      </c>
      <c r="J20" s="1002">
        <v>655</v>
      </c>
      <c r="K20" s="982" t="s">
        <v>4826</v>
      </c>
      <c r="L20" s="1002">
        <v>555</v>
      </c>
      <c r="M20" s="982" t="s">
        <v>4827</v>
      </c>
      <c r="N20" s="1002">
        <v>544</v>
      </c>
      <c r="O20" s="982" t="s">
        <v>4828</v>
      </c>
      <c r="P20" s="1002">
        <v>522</v>
      </c>
      <c r="Q20" s="982" t="s">
        <v>4829</v>
      </c>
      <c r="R20" s="1002">
        <v>740</v>
      </c>
      <c r="S20" s="982" t="s">
        <v>4830</v>
      </c>
      <c r="T20" s="1002">
        <v>491</v>
      </c>
      <c r="U20" s="982" t="s">
        <v>4831</v>
      </c>
      <c r="V20" s="1009">
        <v>501</v>
      </c>
      <c r="W20" s="982" t="s">
        <v>5358</v>
      </c>
      <c r="X20" s="1002">
        <v>467</v>
      </c>
      <c r="Y20" s="982" t="s">
        <v>4832</v>
      </c>
      <c r="Z20" s="1002">
        <v>408</v>
      </c>
      <c r="AA20" s="982" t="s">
        <v>4833</v>
      </c>
      <c r="AB20" s="1002">
        <v>387</v>
      </c>
      <c r="AC20" s="982" t="s">
        <v>4834</v>
      </c>
      <c r="AD20" s="1002">
        <v>384</v>
      </c>
      <c r="AE20" s="983" t="s">
        <v>4835</v>
      </c>
      <c r="AF20" s="1002" t="s">
        <v>369</v>
      </c>
      <c r="AG20" s="983" t="s">
        <v>4836</v>
      </c>
      <c r="AH20" s="1002">
        <v>545</v>
      </c>
      <c r="AI20" s="983" t="s">
        <v>4837</v>
      </c>
      <c r="AJ20" s="1002">
        <v>511</v>
      </c>
      <c r="AK20" s="983" t="s">
        <v>4838</v>
      </c>
      <c r="AL20" s="1002">
        <v>353</v>
      </c>
      <c r="AM20" s="983" t="s">
        <v>4839</v>
      </c>
      <c r="AN20" s="1002">
        <v>328</v>
      </c>
      <c r="AO20" s="983" t="s">
        <v>4840</v>
      </c>
      <c r="AP20" s="1002">
        <v>279</v>
      </c>
      <c r="AQ20" s="983" t="s">
        <v>4841</v>
      </c>
      <c r="AR20" s="1002">
        <v>271</v>
      </c>
      <c r="AS20" s="983" t="s">
        <v>4842</v>
      </c>
      <c r="AT20" s="1002">
        <v>217</v>
      </c>
      <c r="AU20" s="983" t="s">
        <v>4843</v>
      </c>
      <c r="AV20" s="1002">
        <v>236</v>
      </c>
      <c r="AW20" s="983" t="s">
        <v>4844</v>
      </c>
      <c r="AX20" s="1002">
        <v>268</v>
      </c>
      <c r="AY20" s="983" t="s">
        <v>4845</v>
      </c>
      <c r="AZ20" s="1002">
        <v>291</v>
      </c>
      <c r="BA20" s="983" t="s">
        <v>4846</v>
      </c>
      <c r="BB20" s="1002">
        <v>335</v>
      </c>
      <c r="BC20" s="983" t="s">
        <v>4847</v>
      </c>
      <c r="BD20" s="1002">
        <v>409</v>
      </c>
      <c r="BE20" s="983" t="s">
        <v>4848</v>
      </c>
      <c r="BF20" s="1002" t="s">
        <v>369</v>
      </c>
      <c r="BG20" s="983" t="s">
        <v>4849</v>
      </c>
      <c r="BH20" s="1016" t="s">
        <v>369</v>
      </c>
      <c r="BI20" s="982" t="s">
        <v>4850</v>
      </c>
      <c r="BJ20" s="1005">
        <v>505</v>
      </c>
      <c r="BK20" s="983" t="s">
        <v>4851</v>
      </c>
      <c r="BL20" s="1005">
        <v>524</v>
      </c>
    </row>
    <row r="21" spans="1:64">
      <c r="A21" s="984"/>
      <c r="B21" s="986" t="s">
        <v>106</v>
      </c>
      <c r="C21" s="982" t="s">
        <v>5306</v>
      </c>
      <c r="D21" s="1002">
        <v>786</v>
      </c>
      <c r="E21" s="982" t="s">
        <v>4852</v>
      </c>
      <c r="F21" s="1002">
        <v>651</v>
      </c>
      <c r="G21" s="982" t="s">
        <v>4853</v>
      </c>
      <c r="H21" s="1002">
        <v>681</v>
      </c>
      <c r="I21" s="982" t="s">
        <v>4854</v>
      </c>
      <c r="J21" s="1002">
        <v>717</v>
      </c>
      <c r="K21" s="982" t="s">
        <v>4855</v>
      </c>
      <c r="L21" s="1002">
        <v>607</v>
      </c>
      <c r="M21" s="982" t="s">
        <v>4856</v>
      </c>
      <c r="N21" s="1002">
        <v>595</v>
      </c>
      <c r="O21" s="982" t="s">
        <v>4857</v>
      </c>
      <c r="P21" s="1002">
        <v>571</v>
      </c>
      <c r="Q21" s="982" t="s">
        <v>4858</v>
      </c>
      <c r="R21" s="1002">
        <v>810</v>
      </c>
      <c r="S21" s="982" t="s">
        <v>4859</v>
      </c>
      <c r="T21" s="1002">
        <v>538</v>
      </c>
      <c r="U21" s="982" t="s">
        <v>4860</v>
      </c>
      <c r="V21" s="1009">
        <v>548</v>
      </c>
      <c r="W21" s="982" t="s">
        <v>5359</v>
      </c>
      <c r="X21" s="1002">
        <v>511</v>
      </c>
      <c r="Y21" s="982" t="s">
        <v>4861</v>
      </c>
      <c r="Z21" s="1002">
        <v>446</v>
      </c>
      <c r="AA21" s="982" t="s">
        <v>4862</v>
      </c>
      <c r="AB21" s="1002">
        <v>424</v>
      </c>
      <c r="AC21" s="982" t="s">
        <v>4863</v>
      </c>
      <c r="AD21" s="1002">
        <v>414</v>
      </c>
      <c r="AE21" s="983" t="s">
        <v>4864</v>
      </c>
      <c r="AF21" s="1002" t="s">
        <v>369</v>
      </c>
      <c r="AG21" s="983" t="s">
        <v>4865</v>
      </c>
      <c r="AH21" s="1002">
        <v>596</v>
      </c>
      <c r="AI21" s="983" t="s">
        <v>4866</v>
      </c>
      <c r="AJ21" s="1002">
        <v>559</v>
      </c>
      <c r="AK21" s="983" t="s">
        <v>4867</v>
      </c>
      <c r="AL21" s="1002">
        <v>386</v>
      </c>
      <c r="AM21" s="983" t="s">
        <v>4868</v>
      </c>
      <c r="AN21" s="1002">
        <v>359</v>
      </c>
      <c r="AO21" s="983" t="s">
        <v>4869</v>
      </c>
      <c r="AP21" s="1002">
        <v>305</v>
      </c>
      <c r="AQ21" s="983" t="s">
        <v>4870</v>
      </c>
      <c r="AR21" s="1002">
        <v>297</v>
      </c>
      <c r="AS21" s="983" t="s">
        <v>4871</v>
      </c>
      <c r="AT21" s="1002">
        <v>237</v>
      </c>
      <c r="AU21" s="983" t="s">
        <v>4872</v>
      </c>
      <c r="AV21" s="1002">
        <v>258</v>
      </c>
      <c r="AW21" s="983" t="s">
        <v>4873</v>
      </c>
      <c r="AX21" s="1002">
        <v>293</v>
      </c>
      <c r="AY21" s="983" t="s">
        <v>4874</v>
      </c>
      <c r="AZ21" s="1002">
        <v>319</v>
      </c>
      <c r="BA21" s="983" t="s">
        <v>4875</v>
      </c>
      <c r="BB21" s="1002">
        <v>367</v>
      </c>
      <c r="BC21" s="983" t="s">
        <v>4876</v>
      </c>
      <c r="BD21" s="1002">
        <v>448</v>
      </c>
      <c r="BE21" s="983" t="s">
        <v>4877</v>
      </c>
      <c r="BF21" s="1002" t="s">
        <v>369</v>
      </c>
      <c r="BG21" s="983" t="s">
        <v>4878</v>
      </c>
      <c r="BH21" s="1016" t="s">
        <v>369</v>
      </c>
      <c r="BI21" s="982" t="s">
        <v>4879</v>
      </c>
      <c r="BJ21" s="1005">
        <v>553</v>
      </c>
      <c r="BK21" s="983" t="s">
        <v>4880</v>
      </c>
      <c r="BL21" s="1005">
        <v>576</v>
      </c>
    </row>
    <row r="22" spans="1:64">
      <c r="A22" s="984"/>
      <c r="B22" s="972" t="s">
        <v>110</v>
      </c>
      <c r="C22" s="982" t="s">
        <v>5307</v>
      </c>
      <c r="D22" s="1002">
        <v>785</v>
      </c>
      <c r="E22" s="982" t="s">
        <v>4881</v>
      </c>
      <c r="F22" s="1002">
        <v>650</v>
      </c>
      <c r="G22" s="982" t="s">
        <v>4882</v>
      </c>
      <c r="H22" s="1002">
        <v>680</v>
      </c>
      <c r="I22" s="982" t="s">
        <v>4883</v>
      </c>
      <c r="J22" s="1002">
        <v>716</v>
      </c>
      <c r="K22" s="982" t="s">
        <v>4884</v>
      </c>
      <c r="L22" s="1002">
        <v>606</v>
      </c>
      <c r="M22" s="982" t="s">
        <v>4885</v>
      </c>
      <c r="N22" s="1002">
        <v>594</v>
      </c>
      <c r="O22" s="982" t="s">
        <v>4886</v>
      </c>
      <c r="P22" s="1002">
        <v>570</v>
      </c>
      <c r="Q22" s="982" t="s">
        <v>4887</v>
      </c>
      <c r="R22" s="1002">
        <v>809</v>
      </c>
      <c r="S22" s="982" t="s">
        <v>4888</v>
      </c>
      <c r="T22" s="1002">
        <v>537</v>
      </c>
      <c r="U22" s="982" t="s">
        <v>4889</v>
      </c>
      <c r="V22" s="1009">
        <v>547</v>
      </c>
      <c r="W22" s="982" t="s">
        <v>5360</v>
      </c>
      <c r="X22" s="1002">
        <v>510</v>
      </c>
      <c r="Y22" s="982" t="s">
        <v>4890</v>
      </c>
      <c r="Z22" s="1002">
        <v>445</v>
      </c>
      <c r="AA22" s="982" t="s">
        <v>4891</v>
      </c>
      <c r="AB22" s="1002">
        <v>423</v>
      </c>
      <c r="AC22" s="982" t="s">
        <v>4892</v>
      </c>
      <c r="AD22" s="1002">
        <v>425</v>
      </c>
      <c r="AE22" s="983" t="s">
        <v>4893</v>
      </c>
      <c r="AF22" s="1002">
        <v>653</v>
      </c>
      <c r="AG22" s="983" t="s">
        <v>4894</v>
      </c>
      <c r="AH22" s="1002">
        <v>592</v>
      </c>
      <c r="AI22" s="983" t="s">
        <v>4895</v>
      </c>
      <c r="AJ22" s="1002">
        <v>553</v>
      </c>
      <c r="AK22" s="983" t="s">
        <v>4896</v>
      </c>
      <c r="AL22" s="1002">
        <v>385</v>
      </c>
      <c r="AM22" s="983" t="s">
        <v>4897</v>
      </c>
      <c r="AN22" s="1002" t="s">
        <v>369</v>
      </c>
      <c r="AO22" s="983" t="s">
        <v>4898</v>
      </c>
      <c r="AP22" s="1002"/>
      <c r="AQ22" s="983" t="s">
        <v>4899</v>
      </c>
      <c r="AR22" s="1002"/>
      <c r="AS22" s="983" t="s">
        <v>4900</v>
      </c>
      <c r="AT22" s="1002" t="s">
        <v>369</v>
      </c>
      <c r="AU22" s="983" t="s">
        <v>4901</v>
      </c>
      <c r="AV22" s="1002" t="s">
        <v>369</v>
      </c>
      <c r="AW22" s="983" t="s">
        <v>4902</v>
      </c>
      <c r="AX22" s="1002">
        <v>292</v>
      </c>
      <c r="AY22" s="983" t="s">
        <v>4903</v>
      </c>
      <c r="AZ22" s="1002">
        <v>318</v>
      </c>
      <c r="BA22" s="983" t="s">
        <v>4904</v>
      </c>
      <c r="BB22" s="1002">
        <v>366</v>
      </c>
      <c r="BC22" s="983" t="s">
        <v>4905</v>
      </c>
      <c r="BD22" s="1002">
        <v>447</v>
      </c>
      <c r="BE22" s="983" t="s">
        <v>4906</v>
      </c>
      <c r="BF22" s="1002">
        <v>506</v>
      </c>
      <c r="BG22" s="983" t="s">
        <v>4907</v>
      </c>
      <c r="BH22" s="1016" t="s">
        <v>369</v>
      </c>
      <c r="BI22" s="982" t="s">
        <v>4908</v>
      </c>
      <c r="BJ22" s="1005" t="s">
        <v>369</v>
      </c>
      <c r="BK22" s="983" t="s">
        <v>4909</v>
      </c>
      <c r="BL22" s="1005" t="s">
        <v>369</v>
      </c>
    </row>
    <row r="23" spans="1:64">
      <c r="A23" s="984"/>
      <c r="B23" s="986" t="s">
        <v>113</v>
      </c>
      <c r="C23" s="982" t="s">
        <v>5308</v>
      </c>
      <c r="D23" s="1002">
        <v>915</v>
      </c>
      <c r="E23" s="982" t="s">
        <v>4910</v>
      </c>
      <c r="F23" s="1002">
        <v>758</v>
      </c>
      <c r="G23" s="982" t="s">
        <v>4911</v>
      </c>
      <c r="H23" s="1002">
        <v>794</v>
      </c>
      <c r="I23" s="982" t="s">
        <v>4912</v>
      </c>
      <c r="J23" s="1002">
        <v>835</v>
      </c>
      <c r="K23" s="982" t="s">
        <v>4913</v>
      </c>
      <c r="L23" s="1002">
        <v>708</v>
      </c>
      <c r="M23" s="982" t="s">
        <v>4914</v>
      </c>
      <c r="N23" s="1002">
        <v>693</v>
      </c>
      <c r="O23" s="982" t="s">
        <v>4915</v>
      </c>
      <c r="P23" s="1002">
        <v>665</v>
      </c>
      <c r="Q23" s="982" t="s">
        <v>4916</v>
      </c>
      <c r="R23" s="1002">
        <v>943</v>
      </c>
      <c r="S23" s="982" t="s">
        <v>4917</v>
      </c>
      <c r="T23" s="1002">
        <v>627</v>
      </c>
      <c r="U23" s="982" t="s">
        <v>4918</v>
      </c>
      <c r="V23" s="1009">
        <v>637</v>
      </c>
      <c r="W23" s="982" t="s">
        <v>5361</v>
      </c>
      <c r="X23" s="1002">
        <v>595</v>
      </c>
      <c r="Y23" s="982" t="s">
        <v>4919</v>
      </c>
      <c r="Z23" s="1002" t="s">
        <v>369</v>
      </c>
      <c r="AA23" s="982" t="s">
        <v>4920</v>
      </c>
      <c r="AB23" s="1002">
        <v>494</v>
      </c>
      <c r="AC23" s="982" t="s">
        <v>4921</v>
      </c>
      <c r="AD23" s="1002" t="s">
        <v>369</v>
      </c>
      <c r="AE23" s="983" t="s">
        <v>4922</v>
      </c>
      <c r="AF23" s="1002">
        <v>762</v>
      </c>
      <c r="AG23" s="983" t="s">
        <v>4923</v>
      </c>
      <c r="AH23" s="1002">
        <v>676</v>
      </c>
      <c r="AI23" s="983" t="s">
        <v>4924</v>
      </c>
      <c r="AJ23" s="1002">
        <v>649</v>
      </c>
      <c r="AK23" s="983" t="s">
        <v>4925</v>
      </c>
      <c r="AL23" s="1002" t="s">
        <v>369</v>
      </c>
      <c r="AM23" s="983" t="s">
        <v>4926</v>
      </c>
      <c r="AN23" s="1002" t="s">
        <v>369</v>
      </c>
      <c r="AO23" s="983" t="s">
        <v>4927</v>
      </c>
      <c r="AP23" s="1002"/>
      <c r="AQ23" s="983" t="s">
        <v>4928</v>
      </c>
      <c r="AR23" s="1002"/>
      <c r="AS23" s="983" t="s">
        <v>4929</v>
      </c>
      <c r="AT23" s="1002" t="s">
        <v>369</v>
      </c>
      <c r="AU23" s="983" t="s">
        <v>4930</v>
      </c>
      <c r="AV23" s="1002" t="s">
        <v>369</v>
      </c>
      <c r="AW23" s="983" t="s">
        <v>4931</v>
      </c>
      <c r="AX23" s="1002" t="s">
        <v>369</v>
      </c>
      <c r="AY23" s="983" t="s">
        <v>4932</v>
      </c>
      <c r="AZ23" s="1002">
        <v>371</v>
      </c>
      <c r="BA23" s="983" t="s">
        <v>4933</v>
      </c>
      <c r="BB23" s="1002">
        <v>427</v>
      </c>
      <c r="BC23" s="983" t="s">
        <v>4934</v>
      </c>
      <c r="BD23" s="1002">
        <v>522</v>
      </c>
      <c r="BE23" s="983" t="s">
        <v>4935</v>
      </c>
      <c r="BF23" s="1002">
        <v>589</v>
      </c>
      <c r="BG23" s="983" t="s">
        <v>4936</v>
      </c>
      <c r="BH23" s="1016">
        <v>657</v>
      </c>
      <c r="BI23" s="982" t="s">
        <v>4937</v>
      </c>
      <c r="BJ23" s="1005" t="s">
        <v>369</v>
      </c>
      <c r="BK23" s="983" t="s">
        <v>4938</v>
      </c>
      <c r="BL23" s="1005" t="s">
        <v>369</v>
      </c>
    </row>
    <row r="24" spans="1:64" ht="15.75" thickBot="1">
      <c r="A24" s="984"/>
      <c r="B24" s="975" t="s">
        <v>117</v>
      </c>
      <c r="C24" s="976" t="s">
        <v>5309</v>
      </c>
      <c r="D24" s="1003" t="s">
        <v>369</v>
      </c>
      <c r="E24" s="976" t="s">
        <v>4939</v>
      </c>
      <c r="F24" s="1003" t="s">
        <v>369</v>
      </c>
      <c r="G24" s="976" t="s">
        <v>4940</v>
      </c>
      <c r="H24" s="1003" t="s">
        <v>369</v>
      </c>
      <c r="I24" s="976" t="s">
        <v>4941</v>
      </c>
      <c r="J24" s="1003" t="s">
        <v>369</v>
      </c>
      <c r="K24" s="976" t="s">
        <v>4942</v>
      </c>
      <c r="L24" s="1003" t="s">
        <v>369</v>
      </c>
      <c r="M24" s="976" t="s">
        <v>4943</v>
      </c>
      <c r="N24" s="1003" t="s">
        <v>369</v>
      </c>
      <c r="O24" s="976" t="s">
        <v>4944</v>
      </c>
      <c r="P24" s="1003" t="s">
        <v>369</v>
      </c>
      <c r="Q24" s="976" t="s">
        <v>4945</v>
      </c>
      <c r="R24" s="1003" t="s">
        <v>369</v>
      </c>
      <c r="S24" s="976" t="s">
        <v>4946</v>
      </c>
      <c r="T24" s="1003" t="s">
        <v>369</v>
      </c>
      <c r="U24" s="976" t="s">
        <v>4947</v>
      </c>
      <c r="V24" s="1010" t="s">
        <v>369</v>
      </c>
      <c r="W24" s="976" t="s">
        <v>5362</v>
      </c>
      <c r="X24" s="1003">
        <v>671</v>
      </c>
      <c r="Y24" s="976" t="s">
        <v>4948</v>
      </c>
      <c r="Z24" s="1003" t="s">
        <v>369</v>
      </c>
      <c r="AA24" s="976" t="s">
        <v>4949</v>
      </c>
      <c r="AB24" s="1003" t="s">
        <v>369</v>
      </c>
      <c r="AC24" s="976" t="s">
        <v>4950</v>
      </c>
      <c r="AD24" s="1003" t="s">
        <v>369</v>
      </c>
      <c r="AE24" s="978" t="s">
        <v>4951</v>
      </c>
      <c r="AF24" s="1003">
        <v>860</v>
      </c>
      <c r="AG24" s="978" t="s">
        <v>4952</v>
      </c>
      <c r="AH24" s="1003">
        <v>762</v>
      </c>
      <c r="AI24" s="978" t="s">
        <v>4953</v>
      </c>
      <c r="AJ24" s="1003">
        <v>734</v>
      </c>
      <c r="AK24" s="978" t="s">
        <v>4954</v>
      </c>
      <c r="AL24" s="1003" t="s">
        <v>369</v>
      </c>
      <c r="AM24" s="978" t="s">
        <v>4955</v>
      </c>
      <c r="AN24" s="1003" t="s">
        <v>369</v>
      </c>
      <c r="AO24" s="978" t="s">
        <v>4956</v>
      </c>
      <c r="AP24" s="1003"/>
      <c r="AQ24" s="978" t="s">
        <v>4957</v>
      </c>
      <c r="AR24" s="1003"/>
      <c r="AS24" s="978" t="s">
        <v>4958</v>
      </c>
      <c r="AT24" s="1003" t="s">
        <v>369</v>
      </c>
      <c r="AU24" s="978" t="s">
        <v>4959</v>
      </c>
      <c r="AV24" s="1003" t="s">
        <v>369</v>
      </c>
      <c r="AW24" s="978" t="s">
        <v>4960</v>
      </c>
      <c r="AX24" s="1003" t="s">
        <v>369</v>
      </c>
      <c r="AY24" s="978" t="s">
        <v>4961</v>
      </c>
      <c r="AZ24" s="1003" t="s">
        <v>369</v>
      </c>
      <c r="BA24" s="978" t="s">
        <v>4962</v>
      </c>
      <c r="BB24" s="1003" t="s">
        <v>369</v>
      </c>
      <c r="BC24" s="978" t="s">
        <v>4963</v>
      </c>
      <c r="BD24" s="1003">
        <v>588</v>
      </c>
      <c r="BE24" s="978" t="s">
        <v>4964</v>
      </c>
      <c r="BF24" s="1003">
        <v>664</v>
      </c>
      <c r="BG24" s="978" t="s">
        <v>4965</v>
      </c>
      <c r="BH24" s="1017">
        <v>741</v>
      </c>
      <c r="BI24" s="976" t="s">
        <v>4966</v>
      </c>
      <c r="BJ24" s="1006" t="s">
        <v>369</v>
      </c>
      <c r="BK24" s="978" t="s">
        <v>4967</v>
      </c>
      <c r="BL24" s="1006" t="s">
        <v>369</v>
      </c>
    </row>
    <row r="25" spans="1:64">
      <c r="B25" s="985" t="s">
        <v>398</v>
      </c>
      <c r="C25" s="970" t="s">
        <v>4968</v>
      </c>
      <c r="D25" s="1001">
        <v>698</v>
      </c>
      <c r="E25" s="970" t="s">
        <v>4969</v>
      </c>
      <c r="F25" s="1001">
        <v>580</v>
      </c>
      <c r="G25" s="970" t="s">
        <v>4970</v>
      </c>
      <c r="H25" s="1001">
        <v>607</v>
      </c>
      <c r="I25" s="970" t="s">
        <v>4971</v>
      </c>
      <c r="J25" s="1001">
        <v>650</v>
      </c>
      <c r="K25" s="970" t="s">
        <v>4972</v>
      </c>
      <c r="L25" s="1001">
        <v>542</v>
      </c>
      <c r="M25" s="970" t="s">
        <v>4973</v>
      </c>
      <c r="N25" s="1001">
        <v>546</v>
      </c>
      <c r="O25" s="970" t="s">
        <v>4974</v>
      </c>
      <c r="P25" s="1001">
        <v>510</v>
      </c>
      <c r="Q25" s="970" t="s">
        <v>4975</v>
      </c>
      <c r="R25" s="1001">
        <v>765</v>
      </c>
      <c r="S25" s="970" t="s">
        <v>4976</v>
      </c>
      <c r="T25" s="1001">
        <v>481</v>
      </c>
      <c r="U25" s="970" t="s">
        <v>4977</v>
      </c>
      <c r="V25" s="1008">
        <v>491</v>
      </c>
      <c r="W25" s="970" t="s">
        <v>5363</v>
      </c>
      <c r="X25" s="1001">
        <v>457</v>
      </c>
      <c r="Y25" s="970" t="s">
        <v>4978</v>
      </c>
      <c r="Z25" s="1001">
        <v>392</v>
      </c>
      <c r="AA25" s="970" t="s">
        <v>4979</v>
      </c>
      <c r="AB25" s="1001">
        <v>381</v>
      </c>
      <c r="AC25" s="970" t="s">
        <v>4980</v>
      </c>
      <c r="AD25" s="1001">
        <v>367</v>
      </c>
      <c r="AE25" s="971" t="s">
        <v>4981</v>
      </c>
      <c r="AF25" s="1001">
        <v>573</v>
      </c>
      <c r="AG25" s="971" t="s">
        <v>4982</v>
      </c>
      <c r="AH25" s="1001">
        <v>508</v>
      </c>
      <c r="AI25" s="971" t="s">
        <v>4983</v>
      </c>
      <c r="AJ25" s="1001">
        <v>481</v>
      </c>
      <c r="AK25" s="971" t="s">
        <v>4984</v>
      </c>
      <c r="AL25" s="1001">
        <v>338</v>
      </c>
      <c r="AM25" s="971" t="s">
        <v>4985</v>
      </c>
      <c r="AN25" s="1001">
        <v>310</v>
      </c>
      <c r="AO25" s="971" t="s">
        <v>4986</v>
      </c>
      <c r="AP25" s="1001" t="s">
        <v>369</v>
      </c>
      <c r="AQ25" s="971" t="s">
        <v>4987</v>
      </c>
      <c r="AR25" s="1001"/>
      <c r="AS25" s="971" t="s">
        <v>4988</v>
      </c>
      <c r="AT25" s="1001">
        <v>199</v>
      </c>
      <c r="AU25" s="971" t="s">
        <v>4989</v>
      </c>
      <c r="AV25" s="1001">
        <v>217</v>
      </c>
      <c r="AW25" s="971" t="s">
        <v>4990</v>
      </c>
      <c r="AX25" s="1001">
        <v>247</v>
      </c>
      <c r="AY25" s="971" t="s">
        <v>4991</v>
      </c>
      <c r="AZ25" s="1001">
        <v>268</v>
      </c>
      <c r="BA25" s="971" t="s">
        <v>4992</v>
      </c>
      <c r="BB25" s="1001">
        <v>308</v>
      </c>
      <c r="BC25" s="971" t="s">
        <v>4993</v>
      </c>
      <c r="BD25" s="1001">
        <v>377</v>
      </c>
      <c r="BE25" s="971" t="s">
        <v>4994</v>
      </c>
      <c r="BF25" s="1001">
        <v>425</v>
      </c>
      <c r="BG25" s="971" t="s">
        <v>4995</v>
      </c>
      <c r="BH25" s="1015">
        <v>474</v>
      </c>
      <c r="BI25" s="970" t="s">
        <v>4996</v>
      </c>
      <c r="BJ25" s="1004">
        <v>494</v>
      </c>
      <c r="BK25" s="971" t="s">
        <v>4997</v>
      </c>
      <c r="BL25" s="1004">
        <v>512</v>
      </c>
    </row>
    <row r="26" spans="1:64" ht="39" thickBot="1">
      <c r="B26" s="987" t="s">
        <v>4998</v>
      </c>
      <c r="C26" s="988" t="s">
        <v>4999</v>
      </c>
      <c r="D26" s="1003">
        <v>693</v>
      </c>
      <c r="E26" s="988" t="s">
        <v>5000</v>
      </c>
      <c r="F26" s="1003">
        <v>575</v>
      </c>
      <c r="G26" s="988" t="s">
        <v>5001</v>
      </c>
      <c r="H26" s="1003">
        <v>602</v>
      </c>
      <c r="I26" s="988" t="s">
        <v>5002</v>
      </c>
      <c r="J26" s="1003">
        <v>645</v>
      </c>
      <c r="K26" s="988" t="s">
        <v>5003</v>
      </c>
      <c r="L26" s="1003">
        <v>537</v>
      </c>
      <c r="M26" s="988" t="s">
        <v>5004</v>
      </c>
      <c r="N26" s="1003">
        <v>526</v>
      </c>
      <c r="O26" s="988" t="s">
        <v>5005</v>
      </c>
      <c r="P26" s="1003">
        <v>505</v>
      </c>
      <c r="Q26" s="988" t="s">
        <v>5006</v>
      </c>
      <c r="R26" s="1003">
        <v>760</v>
      </c>
      <c r="S26" s="988" t="s">
        <v>5007</v>
      </c>
      <c r="T26" s="1003">
        <v>476</v>
      </c>
      <c r="U26" s="988" t="s">
        <v>5008</v>
      </c>
      <c r="V26" s="1003">
        <v>486</v>
      </c>
      <c r="W26" s="988" t="s">
        <v>5364</v>
      </c>
      <c r="X26" s="1003">
        <v>452</v>
      </c>
      <c r="Y26" s="988" t="s">
        <v>5009</v>
      </c>
      <c r="Z26" s="1003">
        <v>397</v>
      </c>
      <c r="AA26" s="988" t="s">
        <v>5010</v>
      </c>
      <c r="AB26" s="1003">
        <v>376</v>
      </c>
      <c r="AC26" s="988" t="s">
        <v>5011</v>
      </c>
      <c r="AD26" s="1003">
        <v>367</v>
      </c>
      <c r="AE26" s="979" t="s">
        <v>5012</v>
      </c>
      <c r="AF26" s="1003">
        <v>573</v>
      </c>
      <c r="AG26" s="979" t="s">
        <v>5013</v>
      </c>
      <c r="AH26" s="1003">
        <v>508</v>
      </c>
      <c r="AI26" s="979" t="s">
        <v>5014</v>
      </c>
      <c r="AJ26" s="1003">
        <v>481</v>
      </c>
      <c r="AK26" s="979" t="s">
        <v>5015</v>
      </c>
      <c r="AL26" s="1003">
        <v>338</v>
      </c>
      <c r="AM26" s="979" t="s">
        <v>5016</v>
      </c>
      <c r="AN26" s="1003">
        <v>310</v>
      </c>
      <c r="AO26" s="979" t="s">
        <v>5017</v>
      </c>
      <c r="AP26" s="1003" t="s">
        <v>369</v>
      </c>
      <c r="AQ26" s="979" t="s">
        <v>5018</v>
      </c>
      <c r="AR26" s="1003"/>
      <c r="AS26" s="979" t="s">
        <v>5019</v>
      </c>
      <c r="AT26" s="1003">
        <v>199</v>
      </c>
      <c r="AU26" s="979" t="s">
        <v>5020</v>
      </c>
      <c r="AV26" s="1003">
        <v>217</v>
      </c>
      <c r="AW26" s="979" t="s">
        <v>5021</v>
      </c>
      <c r="AX26" s="1003">
        <v>247</v>
      </c>
      <c r="AY26" s="979" t="s">
        <v>5022</v>
      </c>
      <c r="AZ26" s="1003">
        <v>268</v>
      </c>
      <c r="BA26" s="979" t="s">
        <v>5023</v>
      </c>
      <c r="BB26" s="1003">
        <v>308</v>
      </c>
      <c r="BC26" s="979" t="s">
        <v>5024</v>
      </c>
      <c r="BD26" s="1003">
        <v>377</v>
      </c>
      <c r="BE26" s="979" t="s">
        <v>5025</v>
      </c>
      <c r="BF26" s="1003">
        <v>425</v>
      </c>
      <c r="BG26" s="979" t="s">
        <v>5026</v>
      </c>
      <c r="BH26" s="1017">
        <v>474</v>
      </c>
      <c r="BI26" s="988" t="s">
        <v>5027</v>
      </c>
      <c r="BJ26" s="1006">
        <v>489</v>
      </c>
      <c r="BK26" s="979" t="s">
        <v>5028</v>
      </c>
      <c r="BL26" s="1006">
        <v>507</v>
      </c>
    </row>
    <row r="27" spans="1:64">
      <c r="B27" s="985" t="s">
        <v>402</v>
      </c>
      <c r="C27" s="970" t="s">
        <v>5029</v>
      </c>
      <c r="D27" s="1001">
        <v>760</v>
      </c>
      <c r="E27" s="970" t="s">
        <v>5030</v>
      </c>
      <c r="F27" s="1001">
        <v>633</v>
      </c>
      <c r="G27" s="970" t="s">
        <v>5031</v>
      </c>
      <c r="H27" s="1001">
        <v>663</v>
      </c>
      <c r="I27" s="970" t="s">
        <v>5032</v>
      </c>
      <c r="J27" s="1001">
        <v>739</v>
      </c>
      <c r="K27" s="970" t="s">
        <v>5033</v>
      </c>
      <c r="L27" s="1001">
        <v>591</v>
      </c>
      <c r="M27" s="970" t="s">
        <v>5034</v>
      </c>
      <c r="N27" s="1001">
        <v>580</v>
      </c>
      <c r="O27" s="970" t="s">
        <v>5035</v>
      </c>
      <c r="P27" s="1001">
        <v>559</v>
      </c>
      <c r="Q27" s="970" t="s">
        <v>5036</v>
      </c>
      <c r="R27" s="1001">
        <v>809</v>
      </c>
      <c r="S27" s="970" t="s">
        <v>5037</v>
      </c>
      <c r="T27" s="1001">
        <v>525</v>
      </c>
      <c r="U27" s="970" t="s">
        <v>5038</v>
      </c>
      <c r="V27" s="1008">
        <v>535</v>
      </c>
      <c r="W27" s="970" t="s">
        <v>5365</v>
      </c>
      <c r="X27" s="1001">
        <v>505</v>
      </c>
      <c r="Y27" s="970" t="s">
        <v>5039</v>
      </c>
      <c r="Z27" s="1001">
        <v>426</v>
      </c>
      <c r="AA27" s="970" t="s">
        <v>5040</v>
      </c>
      <c r="AB27" s="1001">
        <v>441</v>
      </c>
      <c r="AC27" s="970" t="s">
        <v>5041</v>
      </c>
      <c r="AD27" s="1001" t="s">
        <v>369</v>
      </c>
      <c r="AE27" s="971" t="s">
        <v>5042</v>
      </c>
      <c r="AF27" s="1001" t="s">
        <v>369</v>
      </c>
      <c r="AG27" s="971" t="s">
        <v>5043</v>
      </c>
      <c r="AH27" s="1001" t="s">
        <v>369</v>
      </c>
      <c r="AI27" s="971" t="s">
        <v>5044</v>
      </c>
      <c r="AJ27" s="1001" t="s">
        <v>369</v>
      </c>
      <c r="AK27" s="971" t="s">
        <v>5045</v>
      </c>
      <c r="AL27" s="1001">
        <v>406</v>
      </c>
      <c r="AM27" s="971" t="s">
        <v>5046</v>
      </c>
      <c r="AN27" s="1001" t="s">
        <v>369</v>
      </c>
      <c r="AO27" s="971" t="s">
        <v>5047</v>
      </c>
      <c r="AP27" s="1001"/>
      <c r="AQ27" s="971" t="s">
        <v>5048</v>
      </c>
      <c r="AR27" s="1001"/>
      <c r="AS27" s="971"/>
      <c r="AT27" s="1012"/>
      <c r="AU27" s="971"/>
      <c r="AV27" s="1012"/>
      <c r="AW27" s="971"/>
      <c r="AX27" s="1012"/>
      <c r="AY27" s="971"/>
      <c r="AZ27" s="1012"/>
      <c r="BA27" s="971"/>
      <c r="BB27" s="1012"/>
      <c r="BC27" s="971"/>
      <c r="BD27" s="1012"/>
      <c r="BE27" s="971"/>
      <c r="BF27" s="1012"/>
      <c r="BG27" s="971"/>
      <c r="BH27" s="1012"/>
      <c r="BI27" s="970" t="s">
        <v>5049</v>
      </c>
      <c r="BJ27" s="1004" t="s">
        <v>369</v>
      </c>
      <c r="BK27" s="971" t="s">
        <v>5050</v>
      </c>
      <c r="BL27" s="1004">
        <v>575</v>
      </c>
    </row>
    <row r="28" spans="1:64">
      <c r="B28" s="989" t="s">
        <v>405</v>
      </c>
      <c r="C28" s="973" t="s">
        <v>5051</v>
      </c>
      <c r="D28" s="1002">
        <v>806</v>
      </c>
      <c r="E28" s="973" t="s">
        <v>5052</v>
      </c>
      <c r="F28" s="1002">
        <v>670</v>
      </c>
      <c r="G28" s="973" t="s">
        <v>5053</v>
      </c>
      <c r="H28" s="1002">
        <v>701</v>
      </c>
      <c r="I28" s="973" t="s">
        <v>5054</v>
      </c>
      <c r="J28" s="1002">
        <v>784</v>
      </c>
      <c r="K28" s="973" t="s">
        <v>5055</v>
      </c>
      <c r="L28" s="1002">
        <v>626</v>
      </c>
      <c r="M28" s="973" t="s">
        <v>5056</v>
      </c>
      <c r="N28" s="1002">
        <v>614</v>
      </c>
      <c r="O28" s="973" t="s">
        <v>5057</v>
      </c>
      <c r="P28" s="1002">
        <v>592</v>
      </c>
      <c r="Q28" s="973" t="s">
        <v>5058</v>
      </c>
      <c r="R28" s="1002">
        <v>856</v>
      </c>
      <c r="S28" s="973" t="s">
        <v>5059</v>
      </c>
      <c r="T28" s="1002">
        <v>556</v>
      </c>
      <c r="U28" s="973" t="s">
        <v>5060</v>
      </c>
      <c r="V28" s="1009">
        <v>566</v>
      </c>
      <c r="W28" s="973" t="s">
        <v>5366</v>
      </c>
      <c r="X28" s="1002">
        <v>535</v>
      </c>
      <c r="Y28" s="973" t="s">
        <v>5061</v>
      </c>
      <c r="Z28" s="1002">
        <v>466</v>
      </c>
      <c r="AA28" s="973" t="s">
        <v>5062</v>
      </c>
      <c r="AB28" s="1002">
        <v>465</v>
      </c>
      <c r="AC28" s="973" t="s">
        <v>5063</v>
      </c>
      <c r="AD28" s="1002" t="s">
        <v>369</v>
      </c>
      <c r="AE28" s="964" t="s">
        <v>5064</v>
      </c>
      <c r="AF28" s="1002" t="s">
        <v>369</v>
      </c>
      <c r="AG28" s="964" t="s">
        <v>5065</v>
      </c>
      <c r="AH28" s="1002" t="s">
        <v>369</v>
      </c>
      <c r="AI28" s="964" t="s">
        <v>5066</v>
      </c>
      <c r="AJ28" s="1002" t="s">
        <v>369</v>
      </c>
      <c r="AK28" s="964" t="s">
        <v>5067</v>
      </c>
      <c r="AL28" s="1002">
        <v>428</v>
      </c>
      <c r="AM28" s="964" t="s">
        <v>5068</v>
      </c>
      <c r="AN28" s="1002" t="s">
        <v>369</v>
      </c>
      <c r="AO28" s="964" t="s">
        <v>5069</v>
      </c>
      <c r="AP28" s="1002"/>
      <c r="AQ28" s="964" t="s">
        <v>5070</v>
      </c>
      <c r="AR28" s="1002"/>
      <c r="BI28" s="973" t="s">
        <v>5071</v>
      </c>
      <c r="BJ28" s="1005" t="s">
        <v>369</v>
      </c>
      <c r="BK28" s="964" t="s">
        <v>5072</v>
      </c>
      <c r="BL28" s="1005" t="s">
        <v>369</v>
      </c>
    </row>
    <row r="29" spans="1:64">
      <c r="B29" s="989" t="s">
        <v>407</v>
      </c>
      <c r="C29" s="973" t="s">
        <v>5073</v>
      </c>
      <c r="D29" s="1002">
        <v>779</v>
      </c>
      <c r="E29" s="973" t="s">
        <v>5074</v>
      </c>
      <c r="F29" s="1002">
        <v>647</v>
      </c>
      <c r="G29" s="973" t="s">
        <v>5075</v>
      </c>
      <c r="H29" s="1002">
        <v>679</v>
      </c>
      <c r="I29" s="973" t="s">
        <v>5076</v>
      </c>
      <c r="J29" s="1002">
        <v>749</v>
      </c>
      <c r="K29" s="973" t="s">
        <v>5077</v>
      </c>
      <c r="L29" s="1002" t="s">
        <v>369</v>
      </c>
      <c r="M29" s="973" t="s">
        <v>5078</v>
      </c>
      <c r="N29" s="1002">
        <v>593</v>
      </c>
      <c r="O29" s="973" t="s">
        <v>5079</v>
      </c>
      <c r="P29" s="1002" t="s">
        <v>369</v>
      </c>
      <c r="Q29" s="973" t="s">
        <v>5080</v>
      </c>
      <c r="R29" s="1002">
        <v>827</v>
      </c>
      <c r="S29" s="973" t="s">
        <v>5081</v>
      </c>
      <c r="T29" s="1002">
        <v>537</v>
      </c>
      <c r="U29" s="973" t="s">
        <v>5082</v>
      </c>
      <c r="V29" s="1009">
        <v>547</v>
      </c>
      <c r="W29" s="973" t="s">
        <v>5367</v>
      </c>
      <c r="X29" s="1002">
        <v>515</v>
      </c>
      <c r="Y29" s="973" t="s">
        <v>5083</v>
      </c>
      <c r="Z29" s="1002">
        <v>445</v>
      </c>
      <c r="AA29" s="973" t="s">
        <v>5084</v>
      </c>
      <c r="AB29" s="1002">
        <v>455</v>
      </c>
      <c r="AC29" s="973" t="s">
        <v>5085</v>
      </c>
      <c r="AD29" s="1002" t="s">
        <v>369</v>
      </c>
      <c r="AE29" s="964" t="s">
        <v>5086</v>
      </c>
      <c r="AF29" s="1002" t="s">
        <v>369</v>
      </c>
      <c r="AG29" s="964" t="s">
        <v>5087</v>
      </c>
      <c r="AH29" s="1002" t="s">
        <v>369</v>
      </c>
      <c r="AI29" s="964" t="s">
        <v>5088</v>
      </c>
      <c r="AJ29" s="1002" t="s">
        <v>369</v>
      </c>
      <c r="AK29" s="964" t="s">
        <v>5089</v>
      </c>
      <c r="AL29" s="1002">
        <v>416</v>
      </c>
      <c r="AM29" s="964" t="s">
        <v>5090</v>
      </c>
      <c r="AN29" s="1002" t="s">
        <v>369</v>
      </c>
      <c r="AO29" s="964" t="s">
        <v>5091</v>
      </c>
      <c r="AP29" s="1002"/>
      <c r="AQ29" s="964" t="s">
        <v>5092</v>
      </c>
      <c r="AR29" s="1002"/>
      <c r="BI29" s="973" t="s">
        <v>5093</v>
      </c>
      <c r="BJ29" s="1005" t="s">
        <v>369</v>
      </c>
      <c r="BK29" s="964" t="s">
        <v>5094</v>
      </c>
      <c r="BL29" s="1005">
        <v>589</v>
      </c>
    </row>
    <row r="30" spans="1:64">
      <c r="B30" s="986" t="s">
        <v>5095</v>
      </c>
      <c r="C30" s="973" t="s">
        <v>5096</v>
      </c>
      <c r="D30" s="1002">
        <v>779</v>
      </c>
      <c r="E30" s="973" t="s">
        <v>5097</v>
      </c>
      <c r="F30" s="1002">
        <v>647</v>
      </c>
      <c r="G30" s="973" t="s">
        <v>5098</v>
      </c>
      <c r="H30" s="1002">
        <v>679</v>
      </c>
      <c r="I30" s="973" t="s">
        <v>5099</v>
      </c>
      <c r="J30" s="1002">
        <v>749</v>
      </c>
      <c r="K30" s="973" t="s">
        <v>5100</v>
      </c>
      <c r="L30" s="1002">
        <v>604</v>
      </c>
      <c r="M30" s="973" t="s">
        <v>5101</v>
      </c>
      <c r="N30" s="1002">
        <v>593</v>
      </c>
      <c r="O30" s="973" t="s">
        <v>5102</v>
      </c>
      <c r="P30" s="1002">
        <v>571</v>
      </c>
      <c r="Q30" s="973" t="s">
        <v>5103</v>
      </c>
      <c r="R30" s="1002">
        <v>827</v>
      </c>
      <c r="S30" s="973" t="s">
        <v>5104</v>
      </c>
      <c r="T30" s="1002">
        <v>537</v>
      </c>
      <c r="U30" s="973" t="s">
        <v>5105</v>
      </c>
      <c r="V30" s="1009">
        <v>547</v>
      </c>
      <c r="W30" s="973" t="s">
        <v>5368</v>
      </c>
      <c r="X30" s="1002">
        <v>515</v>
      </c>
      <c r="Y30" s="973" t="s">
        <v>5106</v>
      </c>
      <c r="Z30" s="1002">
        <v>445</v>
      </c>
      <c r="AA30" s="973" t="s">
        <v>5107</v>
      </c>
      <c r="AB30" s="1002">
        <v>455</v>
      </c>
      <c r="AC30" s="973" t="s">
        <v>5108</v>
      </c>
      <c r="AD30" s="1002" t="s">
        <v>369</v>
      </c>
      <c r="AE30" s="964" t="s">
        <v>5109</v>
      </c>
      <c r="AF30" s="1002" t="s">
        <v>369</v>
      </c>
      <c r="AG30" s="964" t="s">
        <v>5110</v>
      </c>
      <c r="AH30" s="1002" t="s">
        <v>369</v>
      </c>
      <c r="AI30" s="964" t="s">
        <v>5111</v>
      </c>
      <c r="AJ30" s="1002" t="s">
        <v>369</v>
      </c>
      <c r="AK30" s="964" t="s">
        <v>5112</v>
      </c>
      <c r="AL30" s="1002">
        <v>416</v>
      </c>
      <c r="AM30" s="964" t="s">
        <v>5113</v>
      </c>
      <c r="AN30" s="1002" t="s">
        <v>369</v>
      </c>
      <c r="AO30" s="964" t="s">
        <v>5114</v>
      </c>
      <c r="AP30" s="1002"/>
      <c r="AQ30" s="964" t="s">
        <v>5115</v>
      </c>
      <c r="AR30" s="1002"/>
      <c r="BI30" s="973" t="s">
        <v>5116</v>
      </c>
      <c r="BJ30" s="1005" t="s">
        <v>369</v>
      </c>
      <c r="BK30" s="964" t="s">
        <v>5117</v>
      </c>
      <c r="BL30" s="1005" t="s">
        <v>369</v>
      </c>
    </row>
    <row r="31" spans="1:64" ht="15.75" thickBot="1">
      <c r="B31" s="990" t="s">
        <v>3711</v>
      </c>
      <c r="C31" s="988" t="s">
        <v>5118</v>
      </c>
      <c r="D31" s="1003">
        <v>779</v>
      </c>
      <c r="E31" s="988" t="s">
        <v>5119</v>
      </c>
      <c r="F31" s="1003">
        <v>647</v>
      </c>
      <c r="G31" s="988" t="s">
        <v>5120</v>
      </c>
      <c r="H31" s="1003">
        <v>679</v>
      </c>
      <c r="I31" s="988" t="s">
        <v>5121</v>
      </c>
      <c r="J31" s="1003">
        <v>749</v>
      </c>
      <c r="K31" s="988" t="s">
        <v>5122</v>
      </c>
      <c r="L31" s="1003">
        <v>604</v>
      </c>
      <c r="M31" s="988" t="s">
        <v>5123</v>
      </c>
      <c r="N31" s="1003">
        <v>593</v>
      </c>
      <c r="O31" s="988" t="s">
        <v>5124</v>
      </c>
      <c r="P31" s="1003">
        <v>571</v>
      </c>
      <c r="Q31" s="988" t="s">
        <v>5125</v>
      </c>
      <c r="R31" s="1003">
        <v>827</v>
      </c>
      <c r="S31" s="988" t="s">
        <v>5126</v>
      </c>
      <c r="T31" s="1003">
        <v>537</v>
      </c>
      <c r="U31" s="988" t="s">
        <v>5127</v>
      </c>
      <c r="V31" s="1010">
        <v>547</v>
      </c>
      <c r="W31" s="988" t="s">
        <v>5369</v>
      </c>
      <c r="X31" s="1003">
        <v>515</v>
      </c>
      <c r="Y31" s="988" t="s">
        <v>5128</v>
      </c>
      <c r="Z31" s="1003">
        <v>445</v>
      </c>
      <c r="AA31" s="988" t="s">
        <v>5129</v>
      </c>
      <c r="AB31" s="1003">
        <v>455</v>
      </c>
      <c r="AC31" s="988" t="s">
        <v>5130</v>
      </c>
      <c r="AD31" s="1003" t="s">
        <v>369</v>
      </c>
      <c r="AE31" s="979" t="s">
        <v>5131</v>
      </c>
      <c r="AF31" s="1003" t="s">
        <v>369</v>
      </c>
      <c r="AG31" s="979" t="s">
        <v>5132</v>
      </c>
      <c r="AH31" s="1003" t="s">
        <v>369</v>
      </c>
      <c r="AI31" s="979" t="s">
        <v>5133</v>
      </c>
      <c r="AJ31" s="1003" t="s">
        <v>369</v>
      </c>
      <c r="AK31" s="979" t="s">
        <v>5134</v>
      </c>
      <c r="AL31" s="1003">
        <v>416</v>
      </c>
      <c r="AM31" s="979" t="s">
        <v>5135</v>
      </c>
      <c r="AN31" s="1003" t="s">
        <v>369</v>
      </c>
      <c r="AO31" s="979" t="s">
        <v>5136</v>
      </c>
      <c r="AP31" s="1003"/>
      <c r="AQ31" s="979" t="s">
        <v>5137</v>
      </c>
      <c r="AR31" s="1003"/>
      <c r="AS31" s="979"/>
      <c r="AT31" s="1014"/>
      <c r="AU31" s="979"/>
      <c r="AV31" s="1014"/>
      <c r="AW31" s="979"/>
      <c r="AX31" s="1014"/>
      <c r="AY31" s="979"/>
      <c r="AZ31" s="1014"/>
      <c r="BA31" s="979"/>
      <c r="BB31" s="1014"/>
      <c r="BC31" s="979"/>
      <c r="BD31" s="1014"/>
      <c r="BE31" s="979"/>
      <c r="BF31" s="1014"/>
      <c r="BG31" s="979"/>
      <c r="BH31" s="1014"/>
      <c r="BI31" s="988" t="s">
        <v>5138</v>
      </c>
      <c r="BJ31" s="1006" t="s">
        <v>369</v>
      </c>
      <c r="BK31" s="979" t="s">
        <v>5139</v>
      </c>
      <c r="BL31" s="1006" t="s">
        <v>369</v>
      </c>
    </row>
    <row r="32" spans="1:64">
      <c r="B32" s="985" t="s">
        <v>411</v>
      </c>
      <c r="C32" s="970" t="s">
        <v>5140</v>
      </c>
      <c r="D32" s="1001">
        <v>168</v>
      </c>
      <c r="E32" s="970" t="s">
        <v>5141</v>
      </c>
      <c r="F32" s="1001">
        <v>113</v>
      </c>
      <c r="G32" s="970" t="s">
        <v>5142</v>
      </c>
      <c r="H32" s="1001">
        <v>115</v>
      </c>
      <c r="I32" s="970" t="s">
        <v>5143</v>
      </c>
      <c r="J32" s="1001">
        <v>116</v>
      </c>
      <c r="K32" s="970" t="s">
        <v>5144</v>
      </c>
      <c r="L32" s="1001">
        <v>107</v>
      </c>
      <c r="M32" s="970" t="s">
        <v>5145</v>
      </c>
      <c r="N32" s="1001">
        <v>105</v>
      </c>
      <c r="O32" s="970" t="s">
        <v>5146</v>
      </c>
      <c r="P32" s="1001">
        <v>97</v>
      </c>
      <c r="Q32" s="970" t="s">
        <v>5147</v>
      </c>
      <c r="R32" s="1001">
        <v>148</v>
      </c>
      <c r="S32" s="970" t="s">
        <v>5148</v>
      </c>
      <c r="T32" s="1001">
        <v>99</v>
      </c>
      <c r="U32" s="970" t="s">
        <v>5149</v>
      </c>
      <c r="V32" s="1008">
        <v>109</v>
      </c>
      <c r="W32" s="970" t="s">
        <v>5370</v>
      </c>
      <c r="X32" s="1001">
        <v>95</v>
      </c>
      <c r="Y32" s="970" t="s">
        <v>5150</v>
      </c>
      <c r="Z32" s="1001">
        <v>82</v>
      </c>
      <c r="AA32" s="970" t="s">
        <v>5151</v>
      </c>
      <c r="AB32" s="1001">
        <v>85</v>
      </c>
      <c r="AC32" s="970" t="s">
        <v>5152</v>
      </c>
      <c r="AD32" s="1001">
        <v>85</v>
      </c>
      <c r="AE32" s="971" t="s">
        <v>5153</v>
      </c>
      <c r="AF32" s="1001" t="s">
        <v>369</v>
      </c>
      <c r="AG32" s="971" t="s">
        <v>5154</v>
      </c>
      <c r="AH32" s="1001" t="s">
        <v>369</v>
      </c>
      <c r="AI32" s="971" t="s">
        <v>5155</v>
      </c>
      <c r="AJ32" s="1001" t="s">
        <v>369</v>
      </c>
      <c r="AK32" s="971" t="s">
        <v>5156</v>
      </c>
      <c r="AL32" s="1001">
        <v>80</v>
      </c>
      <c r="AM32" s="971" t="s">
        <v>5157</v>
      </c>
      <c r="AN32" s="1001">
        <v>77</v>
      </c>
      <c r="AO32" s="971" t="s">
        <v>5158</v>
      </c>
      <c r="AP32" s="1001"/>
      <c r="AQ32" s="971" t="s">
        <v>5159</v>
      </c>
      <c r="AR32" s="1001"/>
      <c r="AS32" s="971"/>
      <c r="AT32" s="1012"/>
      <c r="AU32" s="971"/>
      <c r="AV32" s="1012"/>
      <c r="AW32" s="971"/>
      <c r="AX32" s="1012"/>
      <c r="AY32" s="971"/>
      <c r="AZ32" s="1012"/>
      <c r="BA32" s="971"/>
      <c r="BB32" s="1012"/>
      <c r="BC32" s="971"/>
      <c r="BD32" s="1012"/>
      <c r="BE32" s="971"/>
      <c r="BF32" s="1012"/>
      <c r="BG32" s="971"/>
      <c r="BH32" s="1012"/>
      <c r="BI32" s="970" t="s">
        <v>5160</v>
      </c>
      <c r="BJ32" s="1004">
        <v>95</v>
      </c>
      <c r="BK32" s="971" t="s">
        <v>5161</v>
      </c>
      <c r="BL32" s="1004">
        <v>101</v>
      </c>
    </row>
    <row r="33" spans="2:64">
      <c r="B33" s="986" t="s">
        <v>414</v>
      </c>
      <c r="C33" s="973" t="s">
        <v>5162</v>
      </c>
      <c r="D33" s="1002">
        <v>171</v>
      </c>
      <c r="E33" s="973" t="s">
        <v>5163</v>
      </c>
      <c r="F33" s="1002">
        <v>116</v>
      </c>
      <c r="G33" s="973" t="s">
        <v>5164</v>
      </c>
      <c r="H33" s="1002">
        <v>119</v>
      </c>
      <c r="I33" s="973" t="s">
        <v>5165</v>
      </c>
      <c r="J33" s="1002">
        <v>120</v>
      </c>
      <c r="K33" s="973" t="s">
        <v>5166</v>
      </c>
      <c r="L33" s="1002">
        <v>111</v>
      </c>
      <c r="M33" s="973" t="s">
        <v>5167</v>
      </c>
      <c r="N33" s="1002">
        <v>109</v>
      </c>
      <c r="O33" s="973" t="s">
        <v>5168</v>
      </c>
      <c r="P33" s="1002">
        <v>101</v>
      </c>
      <c r="Q33" s="973" t="s">
        <v>5169</v>
      </c>
      <c r="R33" s="1002">
        <v>151</v>
      </c>
      <c r="S33" s="973" t="s">
        <v>5170</v>
      </c>
      <c r="T33" s="1002">
        <v>103</v>
      </c>
      <c r="U33" s="973" t="s">
        <v>5171</v>
      </c>
      <c r="V33" s="1009">
        <v>113</v>
      </c>
      <c r="W33" s="973" t="s">
        <v>5371</v>
      </c>
      <c r="X33" s="1002">
        <v>98</v>
      </c>
      <c r="Y33" s="973" t="s">
        <v>5172</v>
      </c>
      <c r="Z33" s="1002">
        <v>85</v>
      </c>
      <c r="AA33" s="973" t="s">
        <v>5173</v>
      </c>
      <c r="AB33" s="1002">
        <v>88</v>
      </c>
      <c r="AC33" s="973" t="s">
        <v>5174</v>
      </c>
      <c r="AD33" s="1002">
        <v>88</v>
      </c>
      <c r="AE33" s="964" t="s">
        <v>5175</v>
      </c>
      <c r="AF33" s="1002" t="s">
        <v>369</v>
      </c>
      <c r="AG33" s="964" t="s">
        <v>5176</v>
      </c>
      <c r="AH33" s="1002" t="s">
        <v>369</v>
      </c>
      <c r="AI33" s="964" t="s">
        <v>5177</v>
      </c>
      <c r="AJ33" s="1002" t="s">
        <v>369</v>
      </c>
      <c r="AK33" s="964" t="s">
        <v>5178</v>
      </c>
      <c r="AL33" s="1002">
        <v>83</v>
      </c>
      <c r="AM33" s="964" t="s">
        <v>5179</v>
      </c>
      <c r="AN33" s="1002">
        <v>80</v>
      </c>
      <c r="AO33" s="964" t="s">
        <v>5180</v>
      </c>
      <c r="AP33" s="1002"/>
      <c r="AQ33" s="964" t="s">
        <v>5181</v>
      </c>
      <c r="AR33" s="1002"/>
      <c r="BI33" s="973" t="s">
        <v>5182</v>
      </c>
      <c r="BJ33" s="1005">
        <v>98</v>
      </c>
      <c r="BK33" s="964" t="s">
        <v>5183</v>
      </c>
      <c r="BL33" s="1005">
        <v>105</v>
      </c>
    </row>
    <row r="34" spans="2:64">
      <c r="B34" s="986" t="s">
        <v>305</v>
      </c>
      <c r="C34" s="973" t="s">
        <v>5184</v>
      </c>
      <c r="D34" s="1002">
        <v>195</v>
      </c>
      <c r="E34" s="973" t="s">
        <v>5185</v>
      </c>
      <c r="F34" s="1002" t="s">
        <v>369</v>
      </c>
      <c r="G34" s="973" t="s">
        <v>5186</v>
      </c>
      <c r="H34" s="1002" t="s">
        <v>369</v>
      </c>
      <c r="I34" s="973" t="s">
        <v>5187</v>
      </c>
      <c r="J34" s="1002" t="s">
        <v>369</v>
      </c>
      <c r="K34" s="973" t="s">
        <v>5188</v>
      </c>
      <c r="L34" s="1002" t="s">
        <v>369</v>
      </c>
      <c r="M34" s="973" t="s">
        <v>5189</v>
      </c>
      <c r="N34" s="1002">
        <v>131</v>
      </c>
      <c r="O34" s="973" t="s">
        <v>5190</v>
      </c>
      <c r="P34" s="1002" t="s">
        <v>369</v>
      </c>
      <c r="Q34" s="973" t="s">
        <v>5191</v>
      </c>
      <c r="R34" s="1002" t="s">
        <v>369</v>
      </c>
      <c r="S34" s="973" t="s">
        <v>5192</v>
      </c>
      <c r="T34" s="1002" t="s">
        <v>369</v>
      </c>
      <c r="U34" s="973" t="s">
        <v>5193</v>
      </c>
      <c r="V34" s="1009" t="s">
        <v>369</v>
      </c>
      <c r="W34" s="973" t="s">
        <v>5372</v>
      </c>
      <c r="X34" s="1002" t="s">
        <v>369</v>
      </c>
      <c r="Y34" s="973" t="s">
        <v>5194</v>
      </c>
      <c r="Z34" s="1002" t="s">
        <v>369</v>
      </c>
      <c r="AA34" s="973" t="s">
        <v>5195</v>
      </c>
      <c r="AB34" s="1002" t="s">
        <v>369</v>
      </c>
      <c r="AC34" s="973" t="s">
        <v>5196</v>
      </c>
      <c r="AD34" s="1002">
        <v>97</v>
      </c>
      <c r="AE34" s="964" t="s">
        <v>5197</v>
      </c>
      <c r="AF34" s="1002" t="s">
        <v>369</v>
      </c>
      <c r="AG34" s="964" t="s">
        <v>5198</v>
      </c>
      <c r="AH34" s="1002" t="s">
        <v>369</v>
      </c>
      <c r="AI34" s="964" t="s">
        <v>5199</v>
      </c>
      <c r="AJ34" s="1002" t="s">
        <v>369</v>
      </c>
      <c r="AK34" s="964" t="s">
        <v>5200</v>
      </c>
      <c r="AL34" s="1002">
        <v>96</v>
      </c>
      <c r="AM34" s="964" t="s">
        <v>5201</v>
      </c>
      <c r="AN34" s="1002">
        <v>93</v>
      </c>
      <c r="AO34" s="964" t="s">
        <v>5202</v>
      </c>
      <c r="AP34" s="1002"/>
      <c r="AQ34" s="964" t="s">
        <v>5203</v>
      </c>
      <c r="AR34" s="1002"/>
      <c r="BI34" s="973" t="s">
        <v>5204</v>
      </c>
      <c r="BJ34" s="1005" t="s">
        <v>369</v>
      </c>
      <c r="BK34" s="964" t="s">
        <v>5205</v>
      </c>
      <c r="BL34" s="1005" t="s">
        <v>369</v>
      </c>
    </row>
    <row r="35" spans="2:64">
      <c r="B35" s="972" t="s">
        <v>293</v>
      </c>
      <c r="C35" s="973" t="s">
        <v>5206</v>
      </c>
      <c r="D35" s="1002">
        <v>195</v>
      </c>
      <c r="E35" s="973" t="s">
        <v>5207</v>
      </c>
      <c r="F35" s="1002" t="s">
        <v>369</v>
      </c>
      <c r="G35" s="973" t="s">
        <v>5208</v>
      </c>
      <c r="H35" s="1002" t="s">
        <v>369</v>
      </c>
      <c r="I35" s="973" t="s">
        <v>5209</v>
      </c>
      <c r="J35" s="1002" t="s">
        <v>369</v>
      </c>
      <c r="K35" s="973" t="s">
        <v>5210</v>
      </c>
      <c r="L35" s="1002" t="s">
        <v>369</v>
      </c>
      <c r="M35" s="973" t="s">
        <v>5211</v>
      </c>
      <c r="N35" s="1002">
        <v>131</v>
      </c>
      <c r="O35" s="973" t="s">
        <v>5212</v>
      </c>
      <c r="P35" s="1002" t="s">
        <v>369</v>
      </c>
      <c r="Q35" s="973" t="s">
        <v>5213</v>
      </c>
      <c r="R35" s="1002" t="s">
        <v>369</v>
      </c>
      <c r="S35" s="973" t="s">
        <v>5214</v>
      </c>
      <c r="T35" s="1002" t="s">
        <v>369</v>
      </c>
      <c r="U35" s="973" t="s">
        <v>5215</v>
      </c>
      <c r="V35" s="1009" t="s">
        <v>369</v>
      </c>
      <c r="W35" s="973" t="s">
        <v>5373</v>
      </c>
      <c r="X35" s="1002" t="s">
        <v>369</v>
      </c>
      <c r="Y35" s="973" t="s">
        <v>5216</v>
      </c>
      <c r="Z35" s="1002" t="s">
        <v>369</v>
      </c>
      <c r="AA35" s="973" t="s">
        <v>5217</v>
      </c>
      <c r="AB35" s="1002" t="s">
        <v>369</v>
      </c>
      <c r="AC35" s="973" t="s">
        <v>5218</v>
      </c>
      <c r="AD35" s="1002">
        <v>97</v>
      </c>
      <c r="AE35" s="964" t="s">
        <v>5219</v>
      </c>
      <c r="AF35" s="1002" t="s">
        <v>369</v>
      </c>
      <c r="AG35" s="964" t="s">
        <v>5220</v>
      </c>
      <c r="AH35" s="1002" t="s">
        <v>369</v>
      </c>
      <c r="AI35" s="964" t="s">
        <v>5221</v>
      </c>
      <c r="AJ35" s="1002" t="s">
        <v>369</v>
      </c>
      <c r="AK35" s="964" t="s">
        <v>5222</v>
      </c>
      <c r="AL35" s="1002">
        <v>96</v>
      </c>
      <c r="AM35" s="964" t="s">
        <v>5223</v>
      </c>
      <c r="AN35" s="1002">
        <v>93</v>
      </c>
      <c r="AO35" s="964" t="s">
        <v>5224</v>
      </c>
      <c r="AP35" s="1002"/>
      <c r="AQ35" s="964" t="s">
        <v>5225</v>
      </c>
      <c r="AR35" s="1002"/>
      <c r="BI35" s="973" t="s">
        <v>5226</v>
      </c>
      <c r="BJ35" s="1005" t="s">
        <v>369</v>
      </c>
      <c r="BK35" s="964" t="s">
        <v>5227</v>
      </c>
      <c r="BL35" s="1005" t="s">
        <v>369</v>
      </c>
    </row>
    <row r="36" spans="2:64">
      <c r="B36" s="986" t="s">
        <v>418</v>
      </c>
      <c r="C36" s="973" t="s">
        <v>5228</v>
      </c>
      <c r="D36" s="1002">
        <v>199</v>
      </c>
      <c r="E36" s="973" t="s">
        <v>5229</v>
      </c>
      <c r="F36" s="1002" t="s">
        <v>369</v>
      </c>
      <c r="G36" s="973" t="s">
        <v>5230</v>
      </c>
      <c r="H36" s="1002" t="s">
        <v>369</v>
      </c>
      <c r="I36" s="973" t="s">
        <v>5231</v>
      </c>
      <c r="J36" s="1002" t="s">
        <v>369</v>
      </c>
      <c r="K36" s="973" t="s">
        <v>5232</v>
      </c>
      <c r="L36" s="1002" t="s">
        <v>369</v>
      </c>
      <c r="M36" s="973" t="s">
        <v>5233</v>
      </c>
      <c r="N36" s="1002">
        <v>134</v>
      </c>
      <c r="O36" s="973" t="s">
        <v>5234</v>
      </c>
      <c r="P36" s="1002" t="s">
        <v>369</v>
      </c>
      <c r="Q36" s="973" t="s">
        <v>5235</v>
      </c>
      <c r="R36" s="1002" t="s">
        <v>369</v>
      </c>
      <c r="S36" s="973" t="s">
        <v>5236</v>
      </c>
      <c r="T36" s="1002" t="s">
        <v>369</v>
      </c>
      <c r="U36" s="973" t="s">
        <v>5237</v>
      </c>
      <c r="V36" s="1009" t="s">
        <v>369</v>
      </c>
      <c r="W36" s="973" t="s">
        <v>5374</v>
      </c>
      <c r="X36" s="1002" t="s">
        <v>369</v>
      </c>
      <c r="Y36" s="973" t="s">
        <v>5238</v>
      </c>
      <c r="Z36" s="1002" t="s">
        <v>369</v>
      </c>
      <c r="AA36" s="973" t="s">
        <v>5239</v>
      </c>
      <c r="AB36" s="1002" t="s">
        <v>369</v>
      </c>
      <c r="AC36" s="973" t="s">
        <v>5240</v>
      </c>
      <c r="AD36" s="1002">
        <v>101</v>
      </c>
      <c r="AE36" s="964" t="s">
        <v>5241</v>
      </c>
      <c r="AF36" s="1002" t="s">
        <v>369</v>
      </c>
      <c r="AG36" s="964" t="s">
        <v>5242</v>
      </c>
      <c r="AH36" s="1002" t="s">
        <v>369</v>
      </c>
      <c r="AI36" s="964" t="s">
        <v>5243</v>
      </c>
      <c r="AJ36" s="1002" t="s">
        <v>369</v>
      </c>
      <c r="AK36" s="964" t="s">
        <v>5244</v>
      </c>
      <c r="AL36" s="1002">
        <v>100</v>
      </c>
      <c r="AM36" s="964" t="s">
        <v>5245</v>
      </c>
      <c r="AN36" s="1002">
        <v>97</v>
      </c>
      <c r="AO36" s="964" t="s">
        <v>5246</v>
      </c>
      <c r="AP36" s="1002"/>
      <c r="AQ36" s="964" t="s">
        <v>5247</v>
      </c>
      <c r="AR36" s="1002"/>
      <c r="BI36" s="973" t="s">
        <v>5248</v>
      </c>
      <c r="BJ36" s="1005" t="s">
        <v>369</v>
      </c>
      <c r="BK36" s="964" t="s">
        <v>5249</v>
      </c>
      <c r="BL36" s="1005" t="s">
        <v>369</v>
      </c>
    </row>
    <row r="37" spans="2:64" ht="15.75" thickBot="1">
      <c r="B37" s="975" t="s">
        <v>419</v>
      </c>
      <c r="C37" s="988" t="s">
        <v>5250</v>
      </c>
      <c r="D37" s="1003">
        <v>199</v>
      </c>
      <c r="E37" s="988" t="s">
        <v>5251</v>
      </c>
      <c r="F37" s="1003" t="s">
        <v>369</v>
      </c>
      <c r="G37" s="988" t="s">
        <v>5252</v>
      </c>
      <c r="H37" s="1003" t="s">
        <v>369</v>
      </c>
      <c r="I37" s="988" t="s">
        <v>5253</v>
      </c>
      <c r="J37" s="1003" t="s">
        <v>369</v>
      </c>
      <c r="K37" s="988" t="s">
        <v>5254</v>
      </c>
      <c r="L37" s="1003" t="s">
        <v>369</v>
      </c>
      <c r="M37" s="988" t="s">
        <v>5255</v>
      </c>
      <c r="N37" s="1003">
        <v>134</v>
      </c>
      <c r="O37" s="988" t="s">
        <v>5256</v>
      </c>
      <c r="P37" s="1003" t="s">
        <v>369</v>
      </c>
      <c r="Q37" s="988" t="s">
        <v>5257</v>
      </c>
      <c r="R37" s="1003" t="s">
        <v>369</v>
      </c>
      <c r="S37" s="988" t="s">
        <v>5258</v>
      </c>
      <c r="T37" s="1003" t="s">
        <v>369</v>
      </c>
      <c r="U37" s="988" t="s">
        <v>5259</v>
      </c>
      <c r="V37" s="1010" t="s">
        <v>369</v>
      </c>
      <c r="W37" s="988" t="s">
        <v>5375</v>
      </c>
      <c r="X37" s="1003" t="s">
        <v>369</v>
      </c>
      <c r="Y37" s="988" t="s">
        <v>5260</v>
      </c>
      <c r="Z37" s="1003" t="s">
        <v>369</v>
      </c>
      <c r="AA37" s="988" t="s">
        <v>5261</v>
      </c>
      <c r="AB37" s="1003" t="s">
        <v>369</v>
      </c>
      <c r="AC37" s="988" t="s">
        <v>5262</v>
      </c>
      <c r="AD37" s="1003">
        <v>101</v>
      </c>
      <c r="AE37" s="979" t="s">
        <v>5263</v>
      </c>
      <c r="AF37" s="1003" t="s">
        <v>369</v>
      </c>
      <c r="AG37" s="979" t="s">
        <v>5264</v>
      </c>
      <c r="AH37" s="1003" t="s">
        <v>369</v>
      </c>
      <c r="AI37" s="979" t="s">
        <v>5265</v>
      </c>
      <c r="AJ37" s="1003" t="s">
        <v>369</v>
      </c>
      <c r="AK37" s="979" t="s">
        <v>5266</v>
      </c>
      <c r="AL37" s="1003">
        <v>100</v>
      </c>
      <c r="AM37" s="979" t="s">
        <v>5267</v>
      </c>
      <c r="AN37" s="1003">
        <v>97</v>
      </c>
      <c r="AO37" s="979" t="s">
        <v>5268</v>
      </c>
      <c r="AP37" s="1003"/>
      <c r="AQ37" s="979" t="s">
        <v>5269</v>
      </c>
      <c r="AR37" s="1003"/>
      <c r="AS37" s="979"/>
      <c r="AT37" s="1014"/>
      <c r="AU37" s="979"/>
      <c r="AV37" s="1014"/>
      <c r="AW37" s="979"/>
      <c r="AX37" s="1014"/>
      <c r="AY37" s="979"/>
      <c r="AZ37" s="1014"/>
      <c r="BA37" s="979"/>
      <c r="BB37" s="1014"/>
      <c r="BC37" s="979"/>
      <c r="BD37" s="1014"/>
      <c r="BE37" s="979"/>
      <c r="BF37" s="1014"/>
      <c r="BG37" s="979"/>
      <c r="BH37" s="1014"/>
      <c r="BI37" s="988" t="s">
        <v>5270</v>
      </c>
      <c r="BJ37" s="1006" t="s">
        <v>369</v>
      </c>
      <c r="BK37" s="979" t="s">
        <v>5271</v>
      </c>
      <c r="BL37" s="1006" t="s">
        <v>369</v>
      </c>
    </row>
    <row r="38" spans="2:64">
      <c r="BL38" s="983"/>
    </row>
    <row r="39" spans="2:64" ht="15.75" thickBot="1">
      <c r="B39" s="1049"/>
      <c r="I39" s="1048"/>
      <c r="X39" s="965"/>
      <c r="BL39" s="983"/>
    </row>
    <row r="40" spans="2:64">
      <c r="B40" s="3043" t="s">
        <v>5415</v>
      </c>
      <c r="C40" s="3033" t="s">
        <v>327</v>
      </c>
      <c r="D40" s="3034"/>
      <c r="E40" s="3033" t="s">
        <v>328</v>
      </c>
      <c r="F40" s="3034"/>
      <c r="G40" s="3033" t="s">
        <v>329</v>
      </c>
      <c r="H40" s="3034"/>
      <c r="I40" s="3033" t="s">
        <v>330</v>
      </c>
      <c r="J40" s="3034"/>
      <c r="K40" s="3033" t="s">
        <v>331</v>
      </c>
      <c r="L40" s="3034"/>
      <c r="M40" s="3033" t="s">
        <v>332</v>
      </c>
      <c r="N40" s="3034"/>
      <c r="O40" s="3033" t="s">
        <v>333</v>
      </c>
      <c r="P40" s="3034"/>
      <c r="Q40" s="3033" t="s">
        <v>322</v>
      </c>
      <c r="R40" s="3034"/>
      <c r="S40" s="3033" t="s">
        <v>323</v>
      </c>
      <c r="T40" s="3034"/>
      <c r="U40" s="3033" t="s">
        <v>620</v>
      </c>
      <c r="V40" s="3034"/>
      <c r="W40" s="3033" t="s">
        <v>5344</v>
      </c>
      <c r="X40" s="3034"/>
      <c r="Y40" s="3033" t="s">
        <v>334</v>
      </c>
      <c r="Z40" s="3034"/>
      <c r="AA40" s="3033" t="s">
        <v>335</v>
      </c>
      <c r="AB40" s="3034"/>
      <c r="AC40" s="3033" t="s">
        <v>336</v>
      </c>
      <c r="AD40" s="3034"/>
      <c r="AE40" s="3033" t="s">
        <v>289</v>
      </c>
      <c r="AF40" s="3037"/>
      <c r="AG40" s="3037"/>
      <c r="AH40" s="3037"/>
      <c r="AI40" s="3037"/>
      <c r="AJ40" s="3037"/>
      <c r="AK40" s="3037"/>
      <c r="AL40" s="3037"/>
      <c r="AM40" s="3037"/>
      <c r="AN40" s="3034"/>
      <c r="AO40" s="3037" t="s">
        <v>4517</v>
      </c>
      <c r="AP40" s="3037"/>
      <c r="AQ40" s="3039" t="s">
        <v>4327</v>
      </c>
      <c r="AR40" s="3040"/>
      <c r="AS40" s="3031" t="s">
        <v>326</v>
      </c>
      <c r="AT40" s="3032"/>
      <c r="AU40" s="3032"/>
      <c r="AV40" s="3032"/>
      <c r="AW40" s="3032"/>
      <c r="AX40" s="3032"/>
      <c r="AY40" s="3032"/>
      <c r="AZ40" s="3032"/>
      <c r="BA40" s="3032"/>
      <c r="BB40" s="3032"/>
      <c r="BC40" s="3032"/>
      <c r="BD40" s="3032"/>
      <c r="BE40" s="3032"/>
      <c r="BF40" s="3032"/>
      <c r="BG40" s="3032"/>
      <c r="BH40" s="1011"/>
      <c r="BI40" s="3033" t="s">
        <v>4518</v>
      </c>
      <c r="BJ40" s="3034"/>
      <c r="BK40" s="3037" t="s">
        <v>2835</v>
      </c>
      <c r="BL40" s="3034"/>
    </row>
    <row r="41" spans="2:64" ht="28.5" customHeight="1" thickBot="1">
      <c r="B41" s="3044"/>
      <c r="C41" s="3035"/>
      <c r="D41" s="3036"/>
      <c r="E41" s="3035"/>
      <c r="F41" s="3036"/>
      <c r="G41" s="3035"/>
      <c r="H41" s="3036"/>
      <c r="I41" s="3035"/>
      <c r="J41" s="3036"/>
      <c r="K41" s="3035"/>
      <c r="L41" s="3036"/>
      <c r="M41" s="3035"/>
      <c r="N41" s="3036"/>
      <c r="O41" s="3035"/>
      <c r="P41" s="3036"/>
      <c r="Q41" s="3035"/>
      <c r="R41" s="3036"/>
      <c r="S41" s="3035"/>
      <c r="T41" s="3036"/>
      <c r="U41" s="3035"/>
      <c r="V41" s="3036"/>
      <c r="W41" s="3035"/>
      <c r="X41" s="3036"/>
      <c r="Y41" s="3035"/>
      <c r="Z41" s="3036"/>
      <c r="AA41" s="3035"/>
      <c r="AB41" s="3036"/>
      <c r="AC41" s="3035"/>
      <c r="AD41" s="3036"/>
      <c r="AE41" s="3029">
        <v>0.8</v>
      </c>
      <c r="AF41" s="3029"/>
      <c r="AG41" s="3029">
        <v>0.7</v>
      </c>
      <c r="AH41" s="3029"/>
      <c r="AI41" s="3029">
        <v>0.65</v>
      </c>
      <c r="AJ41" s="3029"/>
      <c r="AK41" s="3029">
        <v>0.45</v>
      </c>
      <c r="AL41" s="3029"/>
      <c r="AM41" s="3029">
        <v>0.4</v>
      </c>
      <c r="AN41" s="3029"/>
      <c r="AO41" s="3038"/>
      <c r="AP41" s="3038"/>
      <c r="AQ41" s="3041"/>
      <c r="AR41" s="3042"/>
      <c r="AS41" s="3029">
        <v>0.35</v>
      </c>
      <c r="AT41" s="3029"/>
      <c r="AU41" s="3029">
        <v>0.4</v>
      </c>
      <c r="AV41" s="3029"/>
      <c r="AW41" s="3029">
        <v>0.45</v>
      </c>
      <c r="AX41" s="3029"/>
      <c r="AY41" s="3029">
        <v>0.5</v>
      </c>
      <c r="AZ41" s="3029"/>
      <c r="BA41" s="3029">
        <v>0.55000000000000004</v>
      </c>
      <c r="BB41" s="3029"/>
      <c r="BC41" s="3029">
        <v>0.7</v>
      </c>
      <c r="BD41" s="3029"/>
      <c r="BE41" s="3029">
        <v>0.8</v>
      </c>
      <c r="BF41" s="3029"/>
      <c r="BG41" s="3029">
        <v>0.9</v>
      </c>
      <c r="BH41" s="3030"/>
      <c r="BI41" s="3035"/>
      <c r="BJ41" s="3036"/>
      <c r="BK41" s="3038"/>
      <c r="BL41" s="3036"/>
    </row>
    <row r="42" spans="2:64">
      <c r="B42" s="1050" t="s">
        <v>5416</v>
      </c>
      <c r="C42" s="970" t="s">
        <v>5417</v>
      </c>
      <c r="D42" s="1001" t="s">
        <v>369</v>
      </c>
      <c r="E42" s="970" t="s">
        <v>5418</v>
      </c>
      <c r="F42" s="1001" t="s">
        <v>369</v>
      </c>
      <c r="G42" s="970" t="s">
        <v>5419</v>
      </c>
      <c r="H42" s="1001" t="s">
        <v>369</v>
      </c>
      <c r="I42" s="970" t="s">
        <v>5420</v>
      </c>
      <c r="J42" s="1001" t="s">
        <v>369</v>
      </c>
      <c r="K42" s="970" t="s">
        <v>5421</v>
      </c>
      <c r="L42" s="1001" t="s">
        <v>369</v>
      </c>
      <c r="M42" s="970" t="s">
        <v>5422</v>
      </c>
      <c r="N42" s="1001" t="s">
        <v>369</v>
      </c>
      <c r="O42" s="970" t="s">
        <v>5423</v>
      </c>
      <c r="P42" s="1001" t="s">
        <v>369</v>
      </c>
      <c r="Q42" s="970" t="s">
        <v>5424</v>
      </c>
      <c r="R42" s="1001" t="s">
        <v>369</v>
      </c>
      <c r="S42" s="970" t="s">
        <v>5425</v>
      </c>
      <c r="T42" s="1001" t="s">
        <v>369</v>
      </c>
      <c r="U42" s="970" t="s">
        <v>5426</v>
      </c>
      <c r="V42" s="1001" t="s">
        <v>369</v>
      </c>
      <c r="W42" s="970" t="s">
        <v>5427</v>
      </c>
      <c r="X42" s="1001" t="s">
        <v>369</v>
      </c>
      <c r="Y42" s="970" t="s">
        <v>5428</v>
      </c>
      <c r="Z42" s="1001" t="s">
        <v>369</v>
      </c>
      <c r="AA42" s="970" t="s">
        <v>5429</v>
      </c>
      <c r="AB42" s="1001" t="s">
        <v>369</v>
      </c>
      <c r="AC42" s="970" t="s">
        <v>5430</v>
      </c>
      <c r="AD42" s="1001" t="s">
        <v>369</v>
      </c>
      <c r="AE42" s="970" t="s">
        <v>5431</v>
      </c>
      <c r="AF42" s="1001" t="s">
        <v>369</v>
      </c>
      <c r="AG42" s="971" t="s">
        <v>5432</v>
      </c>
      <c r="AH42" s="1001" t="s">
        <v>369</v>
      </c>
      <c r="AI42" s="971" t="s">
        <v>5433</v>
      </c>
      <c r="AJ42" s="1001" t="s">
        <v>369</v>
      </c>
      <c r="AK42" s="971" t="s">
        <v>5434</v>
      </c>
      <c r="AL42" s="1001" t="s">
        <v>369</v>
      </c>
      <c r="AM42" s="971" t="s">
        <v>5435</v>
      </c>
      <c r="AN42" s="1001" t="s">
        <v>369</v>
      </c>
      <c r="AO42" s="971" t="s">
        <v>5436</v>
      </c>
      <c r="AP42" s="1001" t="s">
        <v>369</v>
      </c>
      <c r="AQ42" s="971" t="s">
        <v>5437</v>
      </c>
      <c r="AR42" s="1001" t="s">
        <v>369</v>
      </c>
      <c r="AS42" s="971"/>
      <c r="AT42" s="1012"/>
      <c r="AU42" s="971"/>
      <c r="AV42" s="1012"/>
      <c r="AW42" s="971"/>
      <c r="AX42" s="1012"/>
      <c r="AY42" s="971"/>
      <c r="AZ42" s="1012"/>
      <c r="BA42" s="971"/>
      <c r="BB42" s="1012"/>
      <c r="BC42" s="971"/>
      <c r="BD42" s="1012"/>
      <c r="BE42" s="971"/>
      <c r="BF42" s="1012"/>
      <c r="BG42" s="971"/>
      <c r="BH42" s="1012"/>
      <c r="BI42" s="970" t="s">
        <v>5438</v>
      </c>
      <c r="BJ42" s="1001" t="s">
        <v>369</v>
      </c>
      <c r="BK42" s="971" t="s">
        <v>5439</v>
      </c>
      <c r="BL42" s="1001" t="s">
        <v>369</v>
      </c>
    </row>
    <row r="43" spans="2:64">
      <c r="B43" s="974" t="s">
        <v>6771</v>
      </c>
      <c r="C43" s="973"/>
      <c r="D43" s="1002"/>
      <c r="E43" s="973"/>
      <c r="F43" s="1002"/>
      <c r="G43" s="973"/>
      <c r="H43" s="1002"/>
      <c r="I43" s="973"/>
      <c r="J43" s="1002"/>
      <c r="K43" s="973"/>
      <c r="L43" s="1002"/>
      <c r="M43" s="973"/>
      <c r="N43" s="1002"/>
      <c r="O43" s="973"/>
      <c r="P43" s="1002"/>
      <c r="Q43" s="973"/>
      <c r="R43" s="1002"/>
      <c r="S43" s="973"/>
      <c r="T43" s="1002"/>
      <c r="U43" s="973"/>
      <c r="V43" s="1002"/>
      <c r="W43" s="973"/>
      <c r="X43" s="1002"/>
      <c r="Y43" s="973"/>
      <c r="Z43" s="1002"/>
      <c r="AA43" s="973"/>
      <c r="AB43" s="1002"/>
      <c r="AC43" s="973"/>
      <c r="AD43" s="1002"/>
      <c r="AE43" s="973"/>
      <c r="AF43" s="1002"/>
      <c r="AH43" s="1002"/>
      <c r="AJ43" s="1002"/>
      <c r="AL43" s="1002"/>
      <c r="AN43" s="1002"/>
      <c r="AP43" s="1002"/>
      <c r="AR43" s="1002"/>
      <c r="BI43" s="973"/>
      <c r="BJ43" s="1002"/>
      <c r="BL43" s="1002"/>
    </row>
    <row r="44" spans="2:64">
      <c r="B44" s="974" t="s">
        <v>5440</v>
      </c>
      <c r="C44" s="973" t="s">
        <v>5441</v>
      </c>
      <c r="D44" s="1002" t="s">
        <v>369</v>
      </c>
      <c r="E44" s="973" t="s">
        <v>5442</v>
      </c>
      <c r="F44" s="1002" t="s">
        <v>369</v>
      </c>
      <c r="G44" s="973" t="s">
        <v>5443</v>
      </c>
      <c r="H44" s="1002" t="s">
        <v>369</v>
      </c>
      <c r="I44" s="973" t="s">
        <v>5444</v>
      </c>
      <c r="J44" s="1002" t="s">
        <v>369</v>
      </c>
      <c r="K44" s="973" t="s">
        <v>5445</v>
      </c>
      <c r="L44" s="1002" t="s">
        <v>369</v>
      </c>
      <c r="M44" s="973" t="s">
        <v>5446</v>
      </c>
      <c r="N44" s="1002" t="s">
        <v>369</v>
      </c>
      <c r="O44" s="973" t="s">
        <v>5447</v>
      </c>
      <c r="P44" s="1002" t="s">
        <v>369</v>
      </c>
      <c r="Q44" s="973" t="s">
        <v>5448</v>
      </c>
      <c r="R44" s="1002" t="s">
        <v>369</v>
      </c>
      <c r="S44" s="973" t="s">
        <v>5449</v>
      </c>
      <c r="T44" s="1002" t="s">
        <v>369</v>
      </c>
      <c r="U44" s="973" t="s">
        <v>5450</v>
      </c>
      <c r="V44" s="1002" t="s">
        <v>369</v>
      </c>
      <c r="W44" s="973" t="s">
        <v>5451</v>
      </c>
      <c r="X44" s="1002" t="s">
        <v>369</v>
      </c>
      <c r="Y44" s="973" t="s">
        <v>5452</v>
      </c>
      <c r="Z44" s="1002" t="s">
        <v>369</v>
      </c>
      <c r="AA44" s="973" t="s">
        <v>5453</v>
      </c>
      <c r="AB44" s="1002" t="s">
        <v>369</v>
      </c>
      <c r="AC44" s="973" t="s">
        <v>5454</v>
      </c>
      <c r="AD44" s="1002" t="s">
        <v>369</v>
      </c>
      <c r="AE44" s="973" t="s">
        <v>5455</v>
      </c>
      <c r="AF44" s="1002" t="s">
        <v>369</v>
      </c>
      <c r="AG44" s="964" t="s">
        <v>5456</v>
      </c>
      <c r="AH44" s="1002" t="s">
        <v>369</v>
      </c>
      <c r="AI44" s="964" t="s">
        <v>5457</v>
      </c>
      <c r="AJ44" s="1002" t="s">
        <v>369</v>
      </c>
      <c r="AK44" s="964" t="s">
        <v>5458</v>
      </c>
      <c r="AL44" s="1002" t="s">
        <v>369</v>
      </c>
      <c r="AM44" s="964" t="s">
        <v>5459</v>
      </c>
      <c r="AN44" s="1002" t="s">
        <v>369</v>
      </c>
      <c r="AO44" s="964" t="s">
        <v>5460</v>
      </c>
      <c r="AP44" s="1002" t="s">
        <v>369</v>
      </c>
      <c r="AQ44" s="964" t="s">
        <v>5461</v>
      </c>
      <c r="AR44" s="1002" t="s">
        <v>369</v>
      </c>
      <c r="BI44" s="973" t="s">
        <v>5462</v>
      </c>
      <c r="BJ44" s="1002" t="s">
        <v>369</v>
      </c>
      <c r="BK44" s="964" t="s">
        <v>5463</v>
      </c>
      <c r="BL44" s="1002" t="s">
        <v>369</v>
      </c>
    </row>
    <row r="45" spans="2:64">
      <c r="B45" s="974" t="s">
        <v>5464</v>
      </c>
      <c r="C45" s="973" t="s">
        <v>5465</v>
      </c>
      <c r="D45" s="1002" t="s">
        <v>369</v>
      </c>
      <c r="E45" s="973" t="s">
        <v>5466</v>
      </c>
      <c r="F45" s="1002" t="s">
        <v>369</v>
      </c>
      <c r="G45" s="973" t="s">
        <v>5467</v>
      </c>
      <c r="H45" s="1002" t="s">
        <v>369</v>
      </c>
      <c r="I45" s="973" t="s">
        <v>5468</v>
      </c>
      <c r="J45" s="1002" t="s">
        <v>369</v>
      </c>
      <c r="K45" s="973" t="s">
        <v>5469</v>
      </c>
      <c r="L45" s="1002" t="s">
        <v>369</v>
      </c>
      <c r="M45" s="973" t="s">
        <v>5470</v>
      </c>
      <c r="N45" s="1002" t="s">
        <v>369</v>
      </c>
      <c r="O45" s="973" t="s">
        <v>5471</v>
      </c>
      <c r="P45" s="1002" t="s">
        <v>369</v>
      </c>
      <c r="Q45" s="973" t="s">
        <v>5472</v>
      </c>
      <c r="R45" s="1002" t="s">
        <v>369</v>
      </c>
      <c r="S45" s="973" t="s">
        <v>5473</v>
      </c>
      <c r="T45" s="1002" t="s">
        <v>369</v>
      </c>
      <c r="U45" s="973" t="s">
        <v>5474</v>
      </c>
      <c r="V45" s="1002" t="s">
        <v>369</v>
      </c>
      <c r="W45" s="973" t="s">
        <v>5475</v>
      </c>
      <c r="X45" s="1002" t="s">
        <v>369</v>
      </c>
      <c r="Y45" s="973" t="s">
        <v>5476</v>
      </c>
      <c r="Z45" s="1002" t="s">
        <v>369</v>
      </c>
      <c r="AA45" s="973" t="s">
        <v>5477</v>
      </c>
      <c r="AB45" s="1002" t="s">
        <v>369</v>
      </c>
      <c r="AC45" s="973" t="s">
        <v>5478</v>
      </c>
      <c r="AD45" s="1002" t="s">
        <v>369</v>
      </c>
      <c r="AE45" s="973" t="s">
        <v>5479</v>
      </c>
      <c r="AF45" s="1002" t="s">
        <v>369</v>
      </c>
      <c r="AG45" s="964" t="s">
        <v>5480</v>
      </c>
      <c r="AH45" s="1002" t="s">
        <v>369</v>
      </c>
      <c r="AI45" s="964" t="s">
        <v>5481</v>
      </c>
      <c r="AJ45" s="1002" t="s">
        <v>369</v>
      </c>
      <c r="AK45" s="964" t="s">
        <v>5482</v>
      </c>
      <c r="AL45" s="1002" t="s">
        <v>369</v>
      </c>
      <c r="AM45" s="964" t="s">
        <v>5483</v>
      </c>
      <c r="AN45" s="1002" t="s">
        <v>369</v>
      </c>
      <c r="AO45" s="964" t="s">
        <v>5484</v>
      </c>
      <c r="AP45" s="1002" t="s">
        <v>369</v>
      </c>
      <c r="AQ45" s="964" t="s">
        <v>5485</v>
      </c>
      <c r="AR45" s="1002" t="s">
        <v>369</v>
      </c>
      <c r="BI45" s="973" t="s">
        <v>5486</v>
      </c>
      <c r="BJ45" s="1002" t="s">
        <v>369</v>
      </c>
      <c r="BK45" s="964" t="s">
        <v>5487</v>
      </c>
      <c r="BL45" s="1002" t="s">
        <v>369</v>
      </c>
    </row>
    <row r="46" spans="2:64">
      <c r="B46" s="974" t="s">
        <v>5488</v>
      </c>
      <c r="C46" s="973" t="s">
        <v>5489</v>
      </c>
      <c r="D46" s="1002" t="s">
        <v>369</v>
      </c>
      <c r="E46" s="973" t="s">
        <v>5490</v>
      </c>
      <c r="F46" s="1002" t="s">
        <v>369</v>
      </c>
      <c r="G46" s="973" t="s">
        <v>5491</v>
      </c>
      <c r="H46" s="1002" t="s">
        <v>369</v>
      </c>
      <c r="I46" s="973" t="s">
        <v>5492</v>
      </c>
      <c r="J46" s="1002" t="s">
        <v>369</v>
      </c>
      <c r="K46" s="973" t="s">
        <v>5493</v>
      </c>
      <c r="L46" s="1002" t="s">
        <v>369</v>
      </c>
      <c r="M46" s="973" t="s">
        <v>5494</v>
      </c>
      <c r="N46" s="1002" t="s">
        <v>369</v>
      </c>
      <c r="O46" s="973" t="s">
        <v>5495</v>
      </c>
      <c r="P46" s="1002" t="s">
        <v>369</v>
      </c>
      <c r="Q46" s="973" t="s">
        <v>5496</v>
      </c>
      <c r="R46" s="1002" t="s">
        <v>369</v>
      </c>
      <c r="S46" s="973" t="s">
        <v>5497</v>
      </c>
      <c r="T46" s="1002" t="s">
        <v>369</v>
      </c>
      <c r="U46" s="973" t="s">
        <v>5498</v>
      </c>
      <c r="V46" s="1002" t="s">
        <v>369</v>
      </c>
      <c r="W46" s="973" t="s">
        <v>5499</v>
      </c>
      <c r="X46" s="1002" t="s">
        <v>369</v>
      </c>
      <c r="Y46" s="973" t="s">
        <v>5500</v>
      </c>
      <c r="Z46" s="1002" t="s">
        <v>369</v>
      </c>
      <c r="AA46" s="973" t="s">
        <v>5501</v>
      </c>
      <c r="AB46" s="1002" t="s">
        <v>369</v>
      </c>
      <c r="AC46" s="973" t="s">
        <v>5502</v>
      </c>
      <c r="AD46" s="1002" t="s">
        <v>369</v>
      </c>
      <c r="AE46" s="973" t="s">
        <v>5503</v>
      </c>
      <c r="AF46" s="1002" t="s">
        <v>369</v>
      </c>
      <c r="AG46" s="964" t="s">
        <v>5504</v>
      </c>
      <c r="AH46" s="1002" t="s">
        <v>369</v>
      </c>
      <c r="AI46" s="964" t="s">
        <v>5505</v>
      </c>
      <c r="AJ46" s="1002" t="s">
        <v>369</v>
      </c>
      <c r="AK46" s="964" t="s">
        <v>5506</v>
      </c>
      <c r="AL46" s="1002" t="s">
        <v>369</v>
      </c>
      <c r="AM46" s="964" t="s">
        <v>5507</v>
      </c>
      <c r="AN46" s="1002" t="s">
        <v>369</v>
      </c>
      <c r="AO46" s="964" t="s">
        <v>5508</v>
      </c>
      <c r="AP46" s="1002" t="s">
        <v>369</v>
      </c>
      <c r="AQ46" s="964" t="s">
        <v>5509</v>
      </c>
      <c r="AR46" s="1002" t="s">
        <v>369</v>
      </c>
      <c r="BI46" s="973" t="s">
        <v>5510</v>
      </c>
      <c r="BJ46" s="1002" t="s">
        <v>369</v>
      </c>
      <c r="BK46" s="964" t="s">
        <v>5511</v>
      </c>
      <c r="BL46" s="1002" t="s">
        <v>369</v>
      </c>
    </row>
    <row r="47" spans="2:64" ht="25.5">
      <c r="B47" s="974" t="s">
        <v>5512</v>
      </c>
      <c r="C47" s="973" t="s">
        <v>5513</v>
      </c>
      <c r="D47" s="1002" t="s">
        <v>369</v>
      </c>
      <c r="E47" s="973" t="s">
        <v>5514</v>
      </c>
      <c r="F47" s="1002" t="s">
        <v>369</v>
      </c>
      <c r="G47" s="973" t="s">
        <v>5515</v>
      </c>
      <c r="H47" s="1002" t="s">
        <v>369</v>
      </c>
      <c r="I47" s="973" t="s">
        <v>5516</v>
      </c>
      <c r="J47" s="1002" t="s">
        <v>369</v>
      </c>
      <c r="K47" s="973" t="s">
        <v>5517</v>
      </c>
      <c r="L47" s="1002" t="s">
        <v>369</v>
      </c>
      <c r="M47" s="973" t="s">
        <v>5518</v>
      </c>
      <c r="N47" s="1002" t="s">
        <v>369</v>
      </c>
      <c r="O47" s="973" t="s">
        <v>5519</v>
      </c>
      <c r="P47" s="1002" t="s">
        <v>369</v>
      </c>
      <c r="Q47" s="973" t="s">
        <v>5520</v>
      </c>
      <c r="R47" s="1002" t="s">
        <v>369</v>
      </c>
      <c r="S47" s="973" t="s">
        <v>5521</v>
      </c>
      <c r="T47" s="1002" t="s">
        <v>369</v>
      </c>
      <c r="U47" s="973" t="s">
        <v>5522</v>
      </c>
      <c r="V47" s="1002" t="s">
        <v>369</v>
      </c>
      <c r="W47" s="973" t="s">
        <v>5523</v>
      </c>
      <c r="X47" s="1002" t="s">
        <v>369</v>
      </c>
      <c r="Y47" s="973" t="s">
        <v>5524</v>
      </c>
      <c r="Z47" s="1002" t="s">
        <v>369</v>
      </c>
      <c r="AA47" s="973" t="s">
        <v>5525</v>
      </c>
      <c r="AB47" s="1002" t="s">
        <v>369</v>
      </c>
      <c r="AC47" s="973" t="s">
        <v>5526</v>
      </c>
      <c r="AD47" s="1002" t="s">
        <v>369</v>
      </c>
      <c r="AE47" s="973" t="s">
        <v>5527</v>
      </c>
      <c r="AF47" s="1002" t="s">
        <v>369</v>
      </c>
      <c r="AG47" s="964" t="s">
        <v>5528</v>
      </c>
      <c r="AH47" s="1002" t="s">
        <v>369</v>
      </c>
      <c r="AI47" s="964" t="s">
        <v>5529</v>
      </c>
      <c r="AJ47" s="1002" t="s">
        <v>369</v>
      </c>
      <c r="AK47" s="964" t="s">
        <v>5530</v>
      </c>
      <c r="AL47" s="1002" t="s">
        <v>369</v>
      </c>
      <c r="AM47" s="964" t="s">
        <v>5531</v>
      </c>
      <c r="AN47" s="1002" t="s">
        <v>369</v>
      </c>
      <c r="AO47" s="964" t="s">
        <v>5532</v>
      </c>
      <c r="AP47" s="1002" t="s">
        <v>369</v>
      </c>
      <c r="AQ47" s="964" t="s">
        <v>5533</v>
      </c>
      <c r="AR47" s="1002" t="s">
        <v>369</v>
      </c>
      <c r="BI47" s="973" t="s">
        <v>5534</v>
      </c>
      <c r="BJ47" s="1002" t="s">
        <v>369</v>
      </c>
      <c r="BK47" s="964" t="s">
        <v>5535</v>
      </c>
      <c r="BL47" s="1002" t="s">
        <v>369</v>
      </c>
    </row>
    <row r="48" spans="2:64">
      <c r="B48" s="974" t="s">
        <v>5536</v>
      </c>
      <c r="C48" s="973" t="s">
        <v>5537</v>
      </c>
      <c r="D48" s="1002" t="s">
        <v>369</v>
      </c>
      <c r="E48" s="973" t="s">
        <v>5538</v>
      </c>
      <c r="F48" s="1002" t="s">
        <v>369</v>
      </c>
      <c r="G48" s="973" t="s">
        <v>5539</v>
      </c>
      <c r="H48" s="1002" t="s">
        <v>369</v>
      </c>
      <c r="I48" s="973" t="s">
        <v>5540</v>
      </c>
      <c r="J48" s="1002" t="s">
        <v>369</v>
      </c>
      <c r="K48" s="973" t="s">
        <v>5541</v>
      </c>
      <c r="L48" s="1002" t="s">
        <v>369</v>
      </c>
      <c r="M48" s="973" t="s">
        <v>5542</v>
      </c>
      <c r="N48" s="1002" t="s">
        <v>369</v>
      </c>
      <c r="O48" s="973" t="s">
        <v>5543</v>
      </c>
      <c r="P48" s="1002" t="s">
        <v>369</v>
      </c>
      <c r="Q48" s="973" t="s">
        <v>5544</v>
      </c>
      <c r="R48" s="1002" t="s">
        <v>369</v>
      </c>
      <c r="S48" s="973" t="s">
        <v>5545</v>
      </c>
      <c r="T48" s="1002" t="s">
        <v>369</v>
      </c>
      <c r="U48" s="973" t="s">
        <v>5546</v>
      </c>
      <c r="V48" s="1002" t="s">
        <v>369</v>
      </c>
      <c r="W48" s="973" t="s">
        <v>5547</v>
      </c>
      <c r="X48" s="1002" t="s">
        <v>369</v>
      </c>
      <c r="Y48" s="973" t="s">
        <v>5548</v>
      </c>
      <c r="Z48" s="1002" t="s">
        <v>369</v>
      </c>
      <c r="AA48" s="973" t="s">
        <v>5549</v>
      </c>
      <c r="AB48" s="1002" t="s">
        <v>369</v>
      </c>
      <c r="AC48" s="973" t="s">
        <v>5550</v>
      </c>
      <c r="AD48" s="1002" t="s">
        <v>369</v>
      </c>
      <c r="AE48" s="973" t="s">
        <v>5551</v>
      </c>
      <c r="AF48" s="1002" t="s">
        <v>369</v>
      </c>
      <c r="AG48" s="964" t="s">
        <v>5552</v>
      </c>
      <c r="AH48" s="1002" t="s">
        <v>369</v>
      </c>
      <c r="AI48" s="964" t="s">
        <v>5553</v>
      </c>
      <c r="AJ48" s="1002" t="s">
        <v>369</v>
      </c>
      <c r="AK48" s="964" t="s">
        <v>5554</v>
      </c>
      <c r="AL48" s="1002" t="s">
        <v>369</v>
      </c>
      <c r="AM48" s="964" t="s">
        <v>5555</v>
      </c>
      <c r="AN48" s="1002" t="s">
        <v>369</v>
      </c>
      <c r="AO48" s="964" t="s">
        <v>5556</v>
      </c>
      <c r="AP48" s="1002" t="s">
        <v>369</v>
      </c>
      <c r="AQ48" s="964" t="s">
        <v>5557</v>
      </c>
      <c r="AR48" s="1002" t="s">
        <v>369</v>
      </c>
      <c r="BI48" s="973" t="s">
        <v>5558</v>
      </c>
      <c r="BJ48" s="1002" t="s">
        <v>369</v>
      </c>
      <c r="BK48" s="964" t="s">
        <v>5559</v>
      </c>
      <c r="BL48" s="1002" t="s">
        <v>369</v>
      </c>
    </row>
    <row r="49" spans="2:64" ht="15.75" thickBot="1">
      <c r="B49" s="1051" t="s">
        <v>6264</v>
      </c>
      <c r="C49" s="976" t="s">
        <v>6265</v>
      </c>
      <c r="D49" s="1003" t="s">
        <v>369</v>
      </c>
      <c r="E49" s="976" t="s">
        <v>6266</v>
      </c>
      <c r="F49" s="1003" t="s">
        <v>369</v>
      </c>
      <c r="G49" s="976" t="s">
        <v>6267</v>
      </c>
      <c r="H49" s="1003" t="s">
        <v>369</v>
      </c>
      <c r="I49" s="976" t="s">
        <v>6268</v>
      </c>
      <c r="J49" s="1003" t="s">
        <v>369</v>
      </c>
      <c r="K49" s="976" t="s">
        <v>6269</v>
      </c>
      <c r="L49" s="1003" t="s">
        <v>369</v>
      </c>
      <c r="M49" s="976" t="s">
        <v>6270</v>
      </c>
      <c r="N49" s="1003" t="s">
        <v>369</v>
      </c>
      <c r="O49" s="976" t="s">
        <v>6271</v>
      </c>
      <c r="P49" s="1003" t="s">
        <v>369</v>
      </c>
      <c r="Q49" s="976" t="s">
        <v>6272</v>
      </c>
      <c r="R49" s="1003" t="s">
        <v>369</v>
      </c>
      <c r="S49" s="976" t="s">
        <v>6273</v>
      </c>
      <c r="T49" s="1003" t="s">
        <v>369</v>
      </c>
      <c r="U49" s="976" t="s">
        <v>6274</v>
      </c>
      <c r="V49" s="1003" t="s">
        <v>369</v>
      </c>
      <c r="W49" s="976" t="s">
        <v>6275</v>
      </c>
      <c r="X49" s="1003" t="s">
        <v>369</v>
      </c>
      <c r="Y49" s="976" t="s">
        <v>6276</v>
      </c>
      <c r="Z49" s="1003" t="s">
        <v>369</v>
      </c>
      <c r="AA49" s="976" t="s">
        <v>6277</v>
      </c>
      <c r="AB49" s="1003" t="s">
        <v>369</v>
      </c>
      <c r="AC49" s="976" t="s">
        <v>6278</v>
      </c>
      <c r="AD49" s="1003" t="s">
        <v>369</v>
      </c>
      <c r="AE49" s="976" t="s">
        <v>6279</v>
      </c>
      <c r="AF49" s="1003" t="s">
        <v>369</v>
      </c>
      <c r="AG49" s="978" t="s">
        <v>6280</v>
      </c>
      <c r="AH49" s="1003" t="s">
        <v>369</v>
      </c>
      <c r="AI49" s="978" t="s">
        <v>6281</v>
      </c>
      <c r="AJ49" s="1003" t="s">
        <v>369</v>
      </c>
      <c r="AK49" s="978" t="s">
        <v>6282</v>
      </c>
      <c r="AL49" s="1003" t="s">
        <v>369</v>
      </c>
      <c r="AM49" s="978" t="s">
        <v>6283</v>
      </c>
      <c r="AN49" s="1003" t="s">
        <v>369</v>
      </c>
      <c r="AO49" s="978" t="s">
        <v>6284</v>
      </c>
      <c r="AP49" s="1003" t="s">
        <v>369</v>
      </c>
      <c r="AQ49" s="978" t="s">
        <v>6285</v>
      </c>
      <c r="AR49" s="1003" t="s">
        <v>369</v>
      </c>
      <c r="AS49" s="983"/>
      <c r="AT49" s="1013"/>
      <c r="AU49" s="983"/>
      <c r="AV49" s="1013"/>
      <c r="AW49" s="983"/>
      <c r="AX49" s="1013"/>
      <c r="AY49" s="983"/>
      <c r="AZ49" s="1013"/>
      <c r="BA49" s="983"/>
      <c r="BB49" s="1013"/>
      <c r="BC49" s="983"/>
      <c r="BD49" s="1013"/>
      <c r="BE49" s="983"/>
      <c r="BF49" s="1013"/>
      <c r="BG49" s="983"/>
      <c r="BH49" s="1013"/>
      <c r="BI49" s="976" t="s">
        <v>6286</v>
      </c>
      <c r="BJ49" s="1003" t="s">
        <v>369</v>
      </c>
      <c r="BK49" s="978" t="s">
        <v>6287</v>
      </c>
      <c r="BL49" s="1003" t="s">
        <v>369</v>
      </c>
    </row>
    <row r="50" spans="2:64" ht="15.75" thickBot="1">
      <c r="B50" s="1051" t="s">
        <v>5560</v>
      </c>
      <c r="C50" s="976" t="s">
        <v>5561</v>
      </c>
      <c r="D50" s="1003" t="s">
        <v>369</v>
      </c>
      <c r="E50" s="976" t="s">
        <v>5562</v>
      </c>
      <c r="F50" s="1003" t="s">
        <v>369</v>
      </c>
      <c r="G50" s="976" t="s">
        <v>5563</v>
      </c>
      <c r="H50" s="1003" t="s">
        <v>369</v>
      </c>
      <c r="I50" s="976" t="s">
        <v>5564</v>
      </c>
      <c r="J50" s="1003" t="s">
        <v>369</v>
      </c>
      <c r="K50" s="976" t="s">
        <v>5565</v>
      </c>
      <c r="L50" s="1003" t="s">
        <v>369</v>
      </c>
      <c r="M50" s="976" t="s">
        <v>5566</v>
      </c>
      <c r="N50" s="1003" t="s">
        <v>369</v>
      </c>
      <c r="O50" s="976" t="s">
        <v>5567</v>
      </c>
      <c r="P50" s="1003" t="s">
        <v>369</v>
      </c>
      <c r="Q50" s="976" t="s">
        <v>5568</v>
      </c>
      <c r="R50" s="1003" t="s">
        <v>369</v>
      </c>
      <c r="S50" s="976" t="s">
        <v>5569</v>
      </c>
      <c r="T50" s="1003" t="s">
        <v>369</v>
      </c>
      <c r="U50" s="976" t="s">
        <v>5570</v>
      </c>
      <c r="V50" s="1003" t="s">
        <v>369</v>
      </c>
      <c r="W50" s="976" t="s">
        <v>5571</v>
      </c>
      <c r="X50" s="1003" t="s">
        <v>369</v>
      </c>
      <c r="Y50" s="976" t="s">
        <v>5572</v>
      </c>
      <c r="Z50" s="1003" t="s">
        <v>369</v>
      </c>
      <c r="AA50" s="976" t="s">
        <v>5573</v>
      </c>
      <c r="AB50" s="1003" t="s">
        <v>369</v>
      </c>
      <c r="AC50" s="976" t="s">
        <v>5574</v>
      </c>
      <c r="AD50" s="1003" t="s">
        <v>369</v>
      </c>
      <c r="AE50" s="978" t="s">
        <v>5575</v>
      </c>
      <c r="AF50" s="1003" t="s">
        <v>369</v>
      </c>
      <c r="AG50" s="978" t="s">
        <v>5576</v>
      </c>
      <c r="AH50" s="1003" t="s">
        <v>369</v>
      </c>
      <c r="AI50" s="978" t="s">
        <v>5577</v>
      </c>
      <c r="AJ50" s="1003" t="s">
        <v>369</v>
      </c>
      <c r="AK50" s="978" t="s">
        <v>5578</v>
      </c>
      <c r="AL50" s="1003" t="s">
        <v>369</v>
      </c>
      <c r="AM50" s="978" t="s">
        <v>5579</v>
      </c>
      <c r="AN50" s="1003" t="s">
        <v>369</v>
      </c>
      <c r="AO50" s="978" t="s">
        <v>5580</v>
      </c>
      <c r="AP50" s="1003" t="s">
        <v>369</v>
      </c>
      <c r="AQ50" s="978" t="s">
        <v>5581</v>
      </c>
      <c r="AR50" s="1003" t="s">
        <v>369</v>
      </c>
      <c r="AS50" s="976"/>
      <c r="AT50" s="1014"/>
      <c r="AU50" s="978"/>
      <c r="AV50" s="1014"/>
      <c r="AW50" s="978"/>
      <c r="AX50" s="1014"/>
      <c r="AY50" s="978"/>
      <c r="AZ50" s="1014"/>
      <c r="BA50" s="978"/>
      <c r="BB50" s="1014"/>
      <c r="BC50" s="978"/>
      <c r="BD50" s="1014"/>
      <c r="BE50" s="978"/>
      <c r="BF50" s="1014"/>
      <c r="BG50" s="978"/>
      <c r="BH50" s="977"/>
      <c r="BI50" s="976" t="s">
        <v>5582</v>
      </c>
      <c r="BJ50" s="1003" t="s">
        <v>369</v>
      </c>
      <c r="BK50" s="978" t="s">
        <v>5583</v>
      </c>
      <c r="BL50" s="1003" t="s">
        <v>369</v>
      </c>
    </row>
    <row r="51" spans="2:64" ht="25.5">
      <c r="B51" s="1050" t="s">
        <v>5584</v>
      </c>
      <c r="C51" s="980" t="s">
        <v>5585</v>
      </c>
      <c r="D51" s="1001" t="s">
        <v>369</v>
      </c>
      <c r="E51" s="980" t="s">
        <v>5586</v>
      </c>
      <c r="F51" s="1001" t="s">
        <v>369</v>
      </c>
      <c r="G51" s="980" t="s">
        <v>5587</v>
      </c>
      <c r="H51" s="1001" t="s">
        <v>369</v>
      </c>
      <c r="I51" s="980" t="s">
        <v>5588</v>
      </c>
      <c r="J51" s="1001" t="s">
        <v>369</v>
      </c>
      <c r="K51" s="980" t="s">
        <v>5589</v>
      </c>
      <c r="L51" s="1001" t="s">
        <v>369</v>
      </c>
      <c r="M51" s="980" t="s">
        <v>5590</v>
      </c>
      <c r="N51" s="1001" t="s">
        <v>369</v>
      </c>
      <c r="O51" s="980" t="s">
        <v>5591</v>
      </c>
      <c r="P51" s="1001" t="s">
        <v>369</v>
      </c>
      <c r="Q51" s="980" t="s">
        <v>5592</v>
      </c>
      <c r="R51" s="1001" t="s">
        <v>369</v>
      </c>
      <c r="S51" s="980" t="s">
        <v>5593</v>
      </c>
      <c r="T51" s="1001" t="s">
        <v>369</v>
      </c>
      <c r="U51" s="980" t="s">
        <v>5594</v>
      </c>
      <c r="V51" s="1001" t="s">
        <v>369</v>
      </c>
      <c r="W51" s="980" t="s">
        <v>5595</v>
      </c>
      <c r="X51" s="1001" t="s">
        <v>369</v>
      </c>
      <c r="Y51" s="980" t="s">
        <v>5596</v>
      </c>
      <c r="Z51" s="1001" t="s">
        <v>369</v>
      </c>
      <c r="AA51" s="980" t="s">
        <v>5597</v>
      </c>
      <c r="AB51" s="1001" t="s">
        <v>369</v>
      </c>
      <c r="AC51" s="980" t="s">
        <v>5598</v>
      </c>
      <c r="AD51" s="1001" t="s">
        <v>369</v>
      </c>
      <c r="AE51" s="981" t="s">
        <v>5599</v>
      </c>
      <c r="AF51" s="1001" t="s">
        <v>369</v>
      </c>
      <c r="AG51" s="981" t="s">
        <v>5600</v>
      </c>
      <c r="AH51" s="1001" t="s">
        <v>369</v>
      </c>
      <c r="AI51" s="981" t="s">
        <v>5601</v>
      </c>
      <c r="AJ51" s="1001" t="s">
        <v>369</v>
      </c>
      <c r="AK51" s="981" t="s">
        <v>5602</v>
      </c>
      <c r="AL51" s="1001" t="s">
        <v>369</v>
      </c>
      <c r="AM51" s="981" t="s">
        <v>5603</v>
      </c>
      <c r="AN51" s="1001" t="s">
        <v>369</v>
      </c>
      <c r="AO51" s="981" t="s">
        <v>5604</v>
      </c>
      <c r="AP51" s="1001" t="s">
        <v>369</v>
      </c>
      <c r="AQ51" s="981" t="s">
        <v>5605</v>
      </c>
      <c r="AR51" s="1001" t="s">
        <v>369</v>
      </c>
      <c r="AS51" s="981" t="s">
        <v>5606</v>
      </c>
      <c r="AT51" s="1015" t="s">
        <v>369</v>
      </c>
      <c r="AU51" s="981" t="s">
        <v>5607</v>
      </c>
      <c r="AV51" s="1015" t="s">
        <v>369</v>
      </c>
      <c r="AW51" s="981" t="s">
        <v>5608</v>
      </c>
      <c r="AX51" s="1015" t="s">
        <v>369</v>
      </c>
      <c r="AY51" s="981" t="s">
        <v>5609</v>
      </c>
      <c r="AZ51" s="1015" t="s">
        <v>369</v>
      </c>
      <c r="BA51" s="981" t="s">
        <v>5610</v>
      </c>
      <c r="BB51" s="1015" t="s">
        <v>369</v>
      </c>
      <c r="BC51" s="981" t="s">
        <v>5611</v>
      </c>
      <c r="BD51" s="1015" t="s">
        <v>369</v>
      </c>
      <c r="BE51" s="981" t="s">
        <v>5612</v>
      </c>
      <c r="BF51" s="1015" t="s">
        <v>369</v>
      </c>
      <c r="BG51" s="981" t="s">
        <v>5613</v>
      </c>
      <c r="BH51" s="1015" t="s">
        <v>369</v>
      </c>
      <c r="BI51" s="980" t="s">
        <v>5614</v>
      </c>
      <c r="BJ51" s="1001" t="s">
        <v>369</v>
      </c>
      <c r="BK51" s="981" t="s">
        <v>5615</v>
      </c>
      <c r="BL51" s="1001" t="s">
        <v>369</v>
      </c>
    </row>
    <row r="52" spans="2:64">
      <c r="B52" s="974" t="s">
        <v>5616</v>
      </c>
      <c r="C52" s="982" t="s">
        <v>5617</v>
      </c>
      <c r="D52" s="1002" t="s">
        <v>369</v>
      </c>
      <c r="E52" s="982" t="s">
        <v>5618</v>
      </c>
      <c r="F52" s="1002" t="s">
        <v>369</v>
      </c>
      <c r="G52" s="982" t="s">
        <v>5619</v>
      </c>
      <c r="H52" s="1002" t="s">
        <v>369</v>
      </c>
      <c r="I52" s="982" t="s">
        <v>5620</v>
      </c>
      <c r="J52" s="1002" t="s">
        <v>369</v>
      </c>
      <c r="K52" s="982" t="s">
        <v>5621</v>
      </c>
      <c r="L52" s="1002" t="s">
        <v>369</v>
      </c>
      <c r="M52" s="982" t="s">
        <v>5622</v>
      </c>
      <c r="N52" s="1002" t="s">
        <v>369</v>
      </c>
      <c r="O52" s="982" t="s">
        <v>5623</v>
      </c>
      <c r="P52" s="1002" t="s">
        <v>369</v>
      </c>
      <c r="Q52" s="982" t="s">
        <v>5624</v>
      </c>
      <c r="R52" s="1002" t="s">
        <v>369</v>
      </c>
      <c r="S52" s="982" t="s">
        <v>5625</v>
      </c>
      <c r="T52" s="1002" t="s">
        <v>369</v>
      </c>
      <c r="U52" s="982" t="s">
        <v>5626</v>
      </c>
      <c r="V52" s="1002" t="s">
        <v>369</v>
      </c>
      <c r="W52" s="982" t="s">
        <v>5627</v>
      </c>
      <c r="X52" s="1002" t="s">
        <v>369</v>
      </c>
      <c r="Y52" s="982" t="s">
        <v>5628</v>
      </c>
      <c r="Z52" s="1002" t="s">
        <v>369</v>
      </c>
      <c r="AA52" s="982" t="s">
        <v>5629</v>
      </c>
      <c r="AB52" s="1002" t="s">
        <v>369</v>
      </c>
      <c r="AC52" s="982" t="s">
        <v>5630</v>
      </c>
      <c r="AD52" s="1002" t="s">
        <v>369</v>
      </c>
      <c r="AE52" s="983" t="s">
        <v>5631</v>
      </c>
      <c r="AF52" s="1002" t="s">
        <v>369</v>
      </c>
      <c r="AG52" s="983" t="s">
        <v>5632</v>
      </c>
      <c r="AH52" s="1002" t="s">
        <v>369</v>
      </c>
      <c r="AI52" s="983" t="s">
        <v>5633</v>
      </c>
      <c r="AJ52" s="1002" t="s">
        <v>369</v>
      </c>
      <c r="AK52" s="983" t="s">
        <v>5634</v>
      </c>
      <c r="AL52" s="1002" t="s">
        <v>369</v>
      </c>
      <c r="AM52" s="983" t="s">
        <v>5635</v>
      </c>
      <c r="AN52" s="1002" t="s">
        <v>369</v>
      </c>
      <c r="AO52" s="983" t="s">
        <v>5636</v>
      </c>
      <c r="AP52" s="1002" t="s">
        <v>369</v>
      </c>
      <c r="AQ52" s="983" t="s">
        <v>5637</v>
      </c>
      <c r="AR52" s="1002" t="s">
        <v>369</v>
      </c>
      <c r="AS52" s="983" t="s">
        <v>5638</v>
      </c>
      <c r="AT52" s="1016" t="s">
        <v>369</v>
      </c>
      <c r="AU52" s="983" t="s">
        <v>5639</v>
      </c>
      <c r="AV52" s="1016" t="s">
        <v>369</v>
      </c>
      <c r="AW52" s="983" t="s">
        <v>5640</v>
      </c>
      <c r="AX52" s="1016" t="s">
        <v>369</v>
      </c>
      <c r="AY52" s="983" t="s">
        <v>5641</v>
      </c>
      <c r="AZ52" s="1016" t="s">
        <v>369</v>
      </c>
      <c r="BA52" s="983" t="s">
        <v>5642</v>
      </c>
      <c r="BB52" s="1016" t="s">
        <v>369</v>
      </c>
      <c r="BC52" s="983" t="s">
        <v>5643</v>
      </c>
      <c r="BD52" s="1016" t="s">
        <v>369</v>
      </c>
      <c r="BE52" s="983" t="s">
        <v>5644</v>
      </c>
      <c r="BF52" s="1016" t="s">
        <v>369</v>
      </c>
      <c r="BG52" s="983" t="s">
        <v>5645</v>
      </c>
      <c r="BH52" s="1016" t="s">
        <v>369</v>
      </c>
      <c r="BI52" s="982" t="s">
        <v>5646</v>
      </c>
      <c r="BJ52" s="1002" t="s">
        <v>369</v>
      </c>
      <c r="BK52" s="983" t="s">
        <v>5647</v>
      </c>
      <c r="BL52" s="1002" t="s">
        <v>369</v>
      </c>
    </row>
    <row r="53" spans="2:64" ht="15.75" thickBot="1">
      <c r="B53" s="1051" t="s">
        <v>5648</v>
      </c>
      <c r="C53" s="976" t="s">
        <v>5649</v>
      </c>
      <c r="D53" s="1003" t="s">
        <v>369</v>
      </c>
      <c r="E53" s="976" t="s">
        <v>5650</v>
      </c>
      <c r="F53" s="1003" t="s">
        <v>369</v>
      </c>
      <c r="G53" s="976" t="s">
        <v>5651</v>
      </c>
      <c r="H53" s="1003" t="s">
        <v>369</v>
      </c>
      <c r="I53" s="976" t="s">
        <v>5652</v>
      </c>
      <c r="J53" s="1003" t="s">
        <v>369</v>
      </c>
      <c r="K53" s="976" t="s">
        <v>5653</v>
      </c>
      <c r="L53" s="1003" t="s">
        <v>369</v>
      </c>
      <c r="M53" s="976" t="s">
        <v>5654</v>
      </c>
      <c r="N53" s="1003" t="s">
        <v>369</v>
      </c>
      <c r="O53" s="976" t="s">
        <v>5655</v>
      </c>
      <c r="P53" s="1003" t="s">
        <v>369</v>
      </c>
      <c r="Q53" s="976" t="s">
        <v>5656</v>
      </c>
      <c r="R53" s="1003" t="s">
        <v>369</v>
      </c>
      <c r="S53" s="976" t="s">
        <v>5657</v>
      </c>
      <c r="T53" s="1003" t="s">
        <v>369</v>
      </c>
      <c r="U53" s="976" t="s">
        <v>5658</v>
      </c>
      <c r="V53" s="1003" t="s">
        <v>369</v>
      </c>
      <c r="W53" s="976" t="s">
        <v>5659</v>
      </c>
      <c r="X53" s="1003" t="s">
        <v>369</v>
      </c>
      <c r="Y53" s="976" t="s">
        <v>5660</v>
      </c>
      <c r="Z53" s="1003" t="s">
        <v>369</v>
      </c>
      <c r="AA53" s="976" t="s">
        <v>5661</v>
      </c>
      <c r="AB53" s="1003" t="s">
        <v>369</v>
      </c>
      <c r="AC53" s="976" t="s">
        <v>5662</v>
      </c>
      <c r="AD53" s="1003" t="s">
        <v>369</v>
      </c>
      <c r="AE53" s="978" t="s">
        <v>5663</v>
      </c>
      <c r="AF53" s="1003" t="s">
        <v>369</v>
      </c>
      <c r="AG53" s="978" t="s">
        <v>5664</v>
      </c>
      <c r="AH53" s="1003" t="s">
        <v>369</v>
      </c>
      <c r="AI53" s="978" t="s">
        <v>5665</v>
      </c>
      <c r="AJ53" s="1003" t="s">
        <v>369</v>
      </c>
      <c r="AK53" s="978" t="s">
        <v>5666</v>
      </c>
      <c r="AL53" s="1003" t="s">
        <v>369</v>
      </c>
      <c r="AM53" s="978" t="s">
        <v>5667</v>
      </c>
      <c r="AN53" s="1003" t="s">
        <v>369</v>
      </c>
      <c r="AO53" s="978" t="s">
        <v>5668</v>
      </c>
      <c r="AP53" s="1003" t="s">
        <v>369</v>
      </c>
      <c r="AQ53" s="978" t="s">
        <v>5669</v>
      </c>
      <c r="AR53" s="1003" t="s">
        <v>369</v>
      </c>
      <c r="AS53" s="978" t="s">
        <v>5670</v>
      </c>
      <c r="AT53" s="1017" t="s">
        <v>369</v>
      </c>
      <c r="AU53" s="978" t="s">
        <v>5671</v>
      </c>
      <c r="AV53" s="1017" t="s">
        <v>369</v>
      </c>
      <c r="AW53" s="978" t="s">
        <v>5672</v>
      </c>
      <c r="AX53" s="1017" t="s">
        <v>369</v>
      </c>
      <c r="AY53" s="978" t="s">
        <v>5673</v>
      </c>
      <c r="AZ53" s="1017" t="s">
        <v>369</v>
      </c>
      <c r="BA53" s="978" t="s">
        <v>5674</v>
      </c>
      <c r="BB53" s="1017" t="s">
        <v>369</v>
      </c>
      <c r="BC53" s="978" t="s">
        <v>5675</v>
      </c>
      <c r="BD53" s="1017" t="s">
        <v>369</v>
      </c>
      <c r="BE53" s="978" t="s">
        <v>5676</v>
      </c>
      <c r="BF53" s="1017" t="s">
        <v>369</v>
      </c>
      <c r="BG53" s="978" t="s">
        <v>5677</v>
      </c>
      <c r="BH53" s="1017" t="s">
        <v>369</v>
      </c>
      <c r="BI53" s="976" t="s">
        <v>5678</v>
      </c>
      <c r="BJ53" s="1003" t="s">
        <v>369</v>
      </c>
      <c r="BK53" s="978" t="s">
        <v>5679</v>
      </c>
      <c r="BL53" s="1003" t="s">
        <v>369</v>
      </c>
    </row>
    <row r="54" spans="2:64">
      <c r="B54" s="1052" t="s">
        <v>5680</v>
      </c>
      <c r="C54" s="980" t="s">
        <v>5681</v>
      </c>
      <c r="D54" s="1001" t="s">
        <v>369</v>
      </c>
      <c r="E54" s="980" t="s">
        <v>5682</v>
      </c>
      <c r="F54" s="1001" t="s">
        <v>369</v>
      </c>
      <c r="G54" s="980" t="s">
        <v>5683</v>
      </c>
      <c r="H54" s="1001" t="s">
        <v>369</v>
      </c>
      <c r="I54" s="980" t="s">
        <v>5684</v>
      </c>
      <c r="J54" s="1001" t="s">
        <v>369</v>
      </c>
      <c r="K54" s="980" t="s">
        <v>5685</v>
      </c>
      <c r="L54" s="1001" t="s">
        <v>369</v>
      </c>
      <c r="M54" s="980" t="s">
        <v>5686</v>
      </c>
      <c r="N54" s="1001" t="s">
        <v>369</v>
      </c>
      <c r="O54" s="980" t="s">
        <v>5687</v>
      </c>
      <c r="P54" s="1001" t="s">
        <v>369</v>
      </c>
      <c r="Q54" s="980" t="s">
        <v>5688</v>
      </c>
      <c r="R54" s="1001" t="s">
        <v>369</v>
      </c>
      <c r="S54" s="980" t="s">
        <v>5689</v>
      </c>
      <c r="T54" s="1001" t="s">
        <v>369</v>
      </c>
      <c r="U54" s="980" t="s">
        <v>5690</v>
      </c>
      <c r="V54" s="1001" t="s">
        <v>369</v>
      </c>
      <c r="W54" s="980" t="s">
        <v>5691</v>
      </c>
      <c r="X54" s="1001" t="s">
        <v>369</v>
      </c>
      <c r="Y54" s="980" t="s">
        <v>5692</v>
      </c>
      <c r="Z54" s="1001" t="s">
        <v>369</v>
      </c>
      <c r="AA54" s="980" t="s">
        <v>5693</v>
      </c>
      <c r="AB54" s="1001" t="s">
        <v>369</v>
      </c>
      <c r="AC54" s="980" t="s">
        <v>5694</v>
      </c>
      <c r="AD54" s="1001" t="s">
        <v>369</v>
      </c>
      <c r="AE54" s="981" t="s">
        <v>5695</v>
      </c>
      <c r="AF54" s="1001" t="s">
        <v>369</v>
      </c>
      <c r="AG54" s="981" t="s">
        <v>5696</v>
      </c>
      <c r="AH54" s="1001" t="s">
        <v>369</v>
      </c>
      <c r="AI54" s="981" t="s">
        <v>5697</v>
      </c>
      <c r="AJ54" s="1001" t="s">
        <v>369</v>
      </c>
      <c r="AK54" s="981" t="s">
        <v>5698</v>
      </c>
      <c r="AL54" s="1001" t="s">
        <v>369</v>
      </c>
      <c r="AM54" s="981" t="s">
        <v>5699</v>
      </c>
      <c r="AN54" s="1001" t="s">
        <v>369</v>
      </c>
      <c r="AO54" s="981" t="s">
        <v>5700</v>
      </c>
      <c r="AP54" s="1001" t="s">
        <v>369</v>
      </c>
      <c r="AQ54" s="981" t="s">
        <v>5701</v>
      </c>
      <c r="AR54" s="1001" t="s">
        <v>369</v>
      </c>
      <c r="AS54" s="981" t="s">
        <v>5702</v>
      </c>
      <c r="AT54" s="1015" t="s">
        <v>369</v>
      </c>
      <c r="AU54" s="981" t="s">
        <v>5703</v>
      </c>
      <c r="AV54" s="1015" t="s">
        <v>369</v>
      </c>
      <c r="AW54" s="981" t="s">
        <v>5704</v>
      </c>
      <c r="AX54" s="1015" t="s">
        <v>369</v>
      </c>
      <c r="AY54" s="981" t="s">
        <v>5705</v>
      </c>
      <c r="AZ54" s="1015" t="s">
        <v>369</v>
      </c>
      <c r="BA54" s="981" t="s">
        <v>5706</v>
      </c>
      <c r="BB54" s="1015" t="s">
        <v>369</v>
      </c>
      <c r="BC54" s="981" t="s">
        <v>5707</v>
      </c>
      <c r="BD54" s="1015" t="s">
        <v>369</v>
      </c>
      <c r="BE54" s="981" t="s">
        <v>5708</v>
      </c>
      <c r="BF54" s="1015" t="s">
        <v>369</v>
      </c>
      <c r="BG54" s="981" t="s">
        <v>5709</v>
      </c>
      <c r="BH54" s="1015" t="s">
        <v>369</v>
      </c>
      <c r="BI54" s="980" t="s">
        <v>5710</v>
      </c>
      <c r="BJ54" s="1001" t="s">
        <v>369</v>
      </c>
      <c r="BK54" s="981" t="s">
        <v>5711</v>
      </c>
      <c r="BL54" s="1001" t="s">
        <v>369</v>
      </c>
    </row>
    <row r="55" spans="2:64">
      <c r="B55" s="974" t="s">
        <v>5712</v>
      </c>
      <c r="C55" s="982" t="s">
        <v>5713</v>
      </c>
      <c r="D55" s="1002" t="s">
        <v>369</v>
      </c>
      <c r="E55" s="982" t="s">
        <v>5714</v>
      </c>
      <c r="F55" s="1002" t="s">
        <v>369</v>
      </c>
      <c r="G55" s="982" t="s">
        <v>5715</v>
      </c>
      <c r="H55" s="1002" t="s">
        <v>369</v>
      </c>
      <c r="I55" s="982" t="s">
        <v>5716</v>
      </c>
      <c r="J55" s="1002" t="s">
        <v>369</v>
      </c>
      <c r="K55" s="982" t="s">
        <v>5717</v>
      </c>
      <c r="L55" s="1002" t="s">
        <v>369</v>
      </c>
      <c r="M55" s="982" t="s">
        <v>5718</v>
      </c>
      <c r="N55" s="1002" t="s">
        <v>369</v>
      </c>
      <c r="O55" s="982" t="s">
        <v>5719</v>
      </c>
      <c r="P55" s="1002" t="s">
        <v>369</v>
      </c>
      <c r="Q55" s="982" t="s">
        <v>5720</v>
      </c>
      <c r="R55" s="1002" t="s">
        <v>369</v>
      </c>
      <c r="S55" s="982" t="s">
        <v>5721</v>
      </c>
      <c r="T55" s="1002" t="s">
        <v>369</v>
      </c>
      <c r="U55" s="982" t="s">
        <v>5722</v>
      </c>
      <c r="V55" s="1002" t="s">
        <v>369</v>
      </c>
      <c r="W55" s="982" t="s">
        <v>5723</v>
      </c>
      <c r="X55" s="1002" t="s">
        <v>369</v>
      </c>
      <c r="Y55" s="982" t="s">
        <v>5724</v>
      </c>
      <c r="Z55" s="1002" t="s">
        <v>369</v>
      </c>
      <c r="AA55" s="982" t="s">
        <v>5725</v>
      </c>
      <c r="AB55" s="1002" t="s">
        <v>369</v>
      </c>
      <c r="AC55" s="982" t="s">
        <v>5726</v>
      </c>
      <c r="AD55" s="1002" t="s">
        <v>369</v>
      </c>
      <c r="AE55" s="983" t="s">
        <v>5727</v>
      </c>
      <c r="AF55" s="1002" t="s">
        <v>369</v>
      </c>
      <c r="AG55" s="983" t="s">
        <v>5728</v>
      </c>
      <c r="AH55" s="1002" t="s">
        <v>369</v>
      </c>
      <c r="AI55" s="983" t="s">
        <v>5729</v>
      </c>
      <c r="AJ55" s="1002" t="s">
        <v>369</v>
      </c>
      <c r="AK55" s="983" t="s">
        <v>5730</v>
      </c>
      <c r="AL55" s="1002" t="s">
        <v>369</v>
      </c>
      <c r="AM55" s="983" t="s">
        <v>5731</v>
      </c>
      <c r="AN55" s="1002" t="s">
        <v>369</v>
      </c>
      <c r="AO55" s="983" t="s">
        <v>5732</v>
      </c>
      <c r="AP55" s="1002" t="s">
        <v>369</v>
      </c>
      <c r="AQ55" s="983" t="s">
        <v>5733</v>
      </c>
      <c r="AR55" s="1002" t="s">
        <v>369</v>
      </c>
      <c r="AS55" s="983" t="s">
        <v>5734</v>
      </c>
      <c r="AT55" s="1016" t="s">
        <v>369</v>
      </c>
      <c r="AU55" s="983" t="s">
        <v>5735</v>
      </c>
      <c r="AV55" s="1016" t="s">
        <v>369</v>
      </c>
      <c r="AW55" s="983" t="s">
        <v>5736</v>
      </c>
      <c r="AX55" s="1016" t="s">
        <v>369</v>
      </c>
      <c r="AY55" s="983" t="s">
        <v>5737</v>
      </c>
      <c r="AZ55" s="1016" t="s">
        <v>369</v>
      </c>
      <c r="BA55" s="983" t="s">
        <v>5738</v>
      </c>
      <c r="BB55" s="1016" t="s">
        <v>369</v>
      </c>
      <c r="BC55" s="983" t="s">
        <v>5739</v>
      </c>
      <c r="BD55" s="1016" t="s">
        <v>369</v>
      </c>
      <c r="BE55" s="983" t="s">
        <v>5740</v>
      </c>
      <c r="BF55" s="1016" t="s">
        <v>369</v>
      </c>
      <c r="BG55" s="983" t="s">
        <v>5741</v>
      </c>
      <c r="BH55" s="1016" t="s">
        <v>369</v>
      </c>
      <c r="BI55" s="982" t="s">
        <v>5742</v>
      </c>
      <c r="BJ55" s="1002" t="s">
        <v>369</v>
      </c>
      <c r="BK55" s="983" t="s">
        <v>5743</v>
      </c>
      <c r="BL55" s="1002" t="s">
        <v>369</v>
      </c>
    </row>
    <row r="56" spans="2:64" ht="25.5">
      <c r="B56" s="1053" t="s">
        <v>5744</v>
      </c>
      <c r="C56" s="982" t="s">
        <v>5745</v>
      </c>
      <c r="D56" s="1002" t="s">
        <v>369</v>
      </c>
      <c r="E56" s="982" t="s">
        <v>5746</v>
      </c>
      <c r="F56" s="1002" t="s">
        <v>369</v>
      </c>
      <c r="G56" s="982" t="s">
        <v>5747</v>
      </c>
      <c r="H56" s="1002" t="s">
        <v>369</v>
      </c>
      <c r="I56" s="982" t="s">
        <v>5748</v>
      </c>
      <c r="J56" s="1002" t="s">
        <v>369</v>
      </c>
      <c r="K56" s="982" t="s">
        <v>5749</v>
      </c>
      <c r="L56" s="1002" t="s">
        <v>369</v>
      </c>
      <c r="M56" s="982" t="s">
        <v>5750</v>
      </c>
      <c r="N56" s="1002" t="s">
        <v>369</v>
      </c>
      <c r="O56" s="982" t="s">
        <v>5751</v>
      </c>
      <c r="P56" s="1002" t="s">
        <v>369</v>
      </c>
      <c r="Q56" s="982" t="s">
        <v>5752</v>
      </c>
      <c r="R56" s="1002" t="s">
        <v>369</v>
      </c>
      <c r="S56" s="982" t="s">
        <v>5753</v>
      </c>
      <c r="T56" s="1002" t="s">
        <v>369</v>
      </c>
      <c r="U56" s="982" t="s">
        <v>5754</v>
      </c>
      <c r="V56" s="1002" t="s">
        <v>369</v>
      </c>
      <c r="W56" s="982" t="s">
        <v>5755</v>
      </c>
      <c r="X56" s="1002" t="s">
        <v>369</v>
      </c>
      <c r="Y56" s="982" t="s">
        <v>5756</v>
      </c>
      <c r="Z56" s="1002" t="s">
        <v>369</v>
      </c>
      <c r="AA56" s="982" t="s">
        <v>5757</v>
      </c>
      <c r="AB56" s="1002" t="s">
        <v>369</v>
      </c>
      <c r="AC56" s="982" t="s">
        <v>5758</v>
      </c>
      <c r="AD56" s="1002" t="s">
        <v>369</v>
      </c>
      <c r="AE56" s="983" t="s">
        <v>5759</v>
      </c>
      <c r="AF56" s="1002" t="s">
        <v>369</v>
      </c>
      <c r="AG56" s="983" t="s">
        <v>5760</v>
      </c>
      <c r="AH56" s="1002" t="s">
        <v>369</v>
      </c>
      <c r="AI56" s="983" t="s">
        <v>5761</v>
      </c>
      <c r="AJ56" s="1002" t="s">
        <v>369</v>
      </c>
      <c r="AK56" s="983" t="s">
        <v>5762</v>
      </c>
      <c r="AL56" s="1002" t="s">
        <v>369</v>
      </c>
      <c r="AM56" s="983" t="s">
        <v>5763</v>
      </c>
      <c r="AN56" s="1002" t="s">
        <v>369</v>
      </c>
      <c r="AO56" s="983" t="s">
        <v>5764</v>
      </c>
      <c r="AP56" s="1002" t="s">
        <v>369</v>
      </c>
      <c r="AQ56" s="983" t="s">
        <v>5765</v>
      </c>
      <c r="AR56" s="1002" t="s">
        <v>369</v>
      </c>
      <c r="AS56" s="983" t="s">
        <v>5766</v>
      </c>
      <c r="AT56" s="1016" t="s">
        <v>369</v>
      </c>
      <c r="AU56" s="983" t="s">
        <v>5767</v>
      </c>
      <c r="AV56" s="1016" t="s">
        <v>369</v>
      </c>
      <c r="AW56" s="983" t="s">
        <v>5768</v>
      </c>
      <c r="AX56" s="1016" t="s">
        <v>369</v>
      </c>
      <c r="AY56" s="983" t="s">
        <v>5769</v>
      </c>
      <c r="AZ56" s="1016" t="s">
        <v>369</v>
      </c>
      <c r="BA56" s="983" t="s">
        <v>5770</v>
      </c>
      <c r="BB56" s="1016" t="s">
        <v>369</v>
      </c>
      <c r="BC56" s="983" t="s">
        <v>5771</v>
      </c>
      <c r="BD56" s="1016" t="s">
        <v>369</v>
      </c>
      <c r="BE56" s="983" t="s">
        <v>5772</v>
      </c>
      <c r="BF56" s="1016" t="s">
        <v>369</v>
      </c>
      <c r="BG56" s="983" t="s">
        <v>5773</v>
      </c>
      <c r="BH56" s="1016" t="s">
        <v>369</v>
      </c>
      <c r="BI56" s="982" t="s">
        <v>5774</v>
      </c>
      <c r="BJ56" s="1002" t="s">
        <v>369</v>
      </c>
      <c r="BK56" s="983" t="s">
        <v>5775</v>
      </c>
      <c r="BL56" s="1002" t="s">
        <v>369</v>
      </c>
    </row>
    <row r="57" spans="2:64">
      <c r="B57" s="974" t="s">
        <v>5776</v>
      </c>
      <c r="C57" s="982" t="s">
        <v>5777</v>
      </c>
      <c r="D57" s="1002" t="s">
        <v>369</v>
      </c>
      <c r="E57" s="982" t="s">
        <v>5778</v>
      </c>
      <c r="F57" s="1002" t="s">
        <v>369</v>
      </c>
      <c r="G57" s="982" t="s">
        <v>5779</v>
      </c>
      <c r="H57" s="1002" t="s">
        <v>369</v>
      </c>
      <c r="I57" s="982" t="s">
        <v>5780</v>
      </c>
      <c r="J57" s="1002" t="s">
        <v>369</v>
      </c>
      <c r="K57" s="982" t="s">
        <v>5781</v>
      </c>
      <c r="L57" s="1002" t="s">
        <v>369</v>
      </c>
      <c r="M57" s="982" t="s">
        <v>5782</v>
      </c>
      <c r="N57" s="1002" t="s">
        <v>369</v>
      </c>
      <c r="O57" s="982" t="s">
        <v>5783</v>
      </c>
      <c r="P57" s="1002" t="s">
        <v>369</v>
      </c>
      <c r="Q57" s="982" t="s">
        <v>5784</v>
      </c>
      <c r="R57" s="1002" t="s">
        <v>369</v>
      </c>
      <c r="S57" s="982" t="s">
        <v>5785</v>
      </c>
      <c r="T57" s="1002" t="s">
        <v>369</v>
      </c>
      <c r="U57" s="982" t="s">
        <v>5786</v>
      </c>
      <c r="V57" s="1002" t="s">
        <v>369</v>
      </c>
      <c r="W57" s="982" t="s">
        <v>5787</v>
      </c>
      <c r="X57" s="1002" t="s">
        <v>369</v>
      </c>
      <c r="Y57" s="982" t="s">
        <v>5788</v>
      </c>
      <c r="Z57" s="1002" t="s">
        <v>369</v>
      </c>
      <c r="AA57" s="982" t="s">
        <v>5789</v>
      </c>
      <c r="AB57" s="1002" t="s">
        <v>369</v>
      </c>
      <c r="AC57" s="982" t="s">
        <v>5790</v>
      </c>
      <c r="AD57" s="1002" t="s">
        <v>369</v>
      </c>
      <c r="AE57" s="983" t="s">
        <v>5791</v>
      </c>
      <c r="AF57" s="1002" t="s">
        <v>369</v>
      </c>
      <c r="AG57" s="983" t="s">
        <v>5792</v>
      </c>
      <c r="AH57" s="1002" t="s">
        <v>369</v>
      </c>
      <c r="AI57" s="983" t="s">
        <v>5793</v>
      </c>
      <c r="AJ57" s="1002" t="s">
        <v>369</v>
      </c>
      <c r="AK57" s="983" t="s">
        <v>5794</v>
      </c>
      <c r="AL57" s="1002" t="s">
        <v>369</v>
      </c>
      <c r="AM57" s="983" t="s">
        <v>5795</v>
      </c>
      <c r="AN57" s="1002" t="s">
        <v>369</v>
      </c>
      <c r="AO57" s="983" t="s">
        <v>5796</v>
      </c>
      <c r="AP57" s="1002" t="s">
        <v>369</v>
      </c>
      <c r="AQ57" s="983" t="s">
        <v>5797</v>
      </c>
      <c r="AR57" s="1002" t="s">
        <v>369</v>
      </c>
      <c r="AS57" s="983" t="s">
        <v>5798</v>
      </c>
      <c r="AT57" s="1016" t="s">
        <v>369</v>
      </c>
      <c r="AU57" s="983" t="s">
        <v>5799</v>
      </c>
      <c r="AV57" s="1016" t="s">
        <v>369</v>
      </c>
      <c r="AW57" s="983" t="s">
        <v>5800</v>
      </c>
      <c r="AX57" s="1016" t="s">
        <v>369</v>
      </c>
      <c r="AY57" s="983" t="s">
        <v>5801</v>
      </c>
      <c r="AZ57" s="1016" t="s">
        <v>369</v>
      </c>
      <c r="BA57" s="983" t="s">
        <v>5802</v>
      </c>
      <c r="BB57" s="1016" t="s">
        <v>369</v>
      </c>
      <c r="BC57" s="983" t="s">
        <v>5803</v>
      </c>
      <c r="BD57" s="1016" t="s">
        <v>369</v>
      </c>
      <c r="BE57" s="983" t="s">
        <v>5804</v>
      </c>
      <c r="BF57" s="1016" t="s">
        <v>369</v>
      </c>
      <c r="BG57" s="983" t="s">
        <v>5805</v>
      </c>
      <c r="BH57" s="1016" t="s">
        <v>369</v>
      </c>
      <c r="BI57" s="982" t="s">
        <v>5806</v>
      </c>
      <c r="BJ57" s="1002" t="s">
        <v>369</v>
      </c>
      <c r="BK57" s="983" t="s">
        <v>5807</v>
      </c>
      <c r="BL57" s="1002" t="s">
        <v>369</v>
      </c>
    </row>
    <row r="58" spans="2:64">
      <c r="B58" s="1053" t="s">
        <v>5808</v>
      </c>
      <c r="C58" s="982" t="s">
        <v>5809</v>
      </c>
      <c r="D58" s="1002" t="s">
        <v>369</v>
      </c>
      <c r="E58" s="982" t="s">
        <v>5810</v>
      </c>
      <c r="F58" s="1002" t="s">
        <v>369</v>
      </c>
      <c r="G58" s="982" t="s">
        <v>5811</v>
      </c>
      <c r="H58" s="1002" t="s">
        <v>369</v>
      </c>
      <c r="I58" s="982" t="s">
        <v>5812</v>
      </c>
      <c r="J58" s="1002" t="s">
        <v>369</v>
      </c>
      <c r="K58" s="982" t="s">
        <v>5813</v>
      </c>
      <c r="L58" s="1002" t="s">
        <v>369</v>
      </c>
      <c r="M58" s="982" t="s">
        <v>5814</v>
      </c>
      <c r="N58" s="1002" t="s">
        <v>369</v>
      </c>
      <c r="O58" s="982" t="s">
        <v>5815</v>
      </c>
      <c r="P58" s="1002" t="s">
        <v>369</v>
      </c>
      <c r="Q58" s="982" t="s">
        <v>5816</v>
      </c>
      <c r="R58" s="1002" t="s">
        <v>369</v>
      </c>
      <c r="S58" s="982" t="s">
        <v>5817</v>
      </c>
      <c r="T58" s="1002" t="s">
        <v>369</v>
      </c>
      <c r="U58" s="982" t="s">
        <v>5818</v>
      </c>
      <c r="V58" s="1002" t="s">
        <v>369</v>
      </c>
      <c r="W58" s="982" t="s">
        <v>5819</v>
      </c>
      <c r="X58" s="1002" t="s">
        <v>369</v>
      </c>
      <c r="Y58" s="982" t="s">
        <v>5820</v>
      </c>
      <c r="Z58" s="1002" t="s">
        <v>369</v>
      </c>
      <c r="AA58" s="982" t="s">
        <v>5821</v>
      </c>
      <c r="AB58" s="1002" t="s">
        <v>369</v>
      </c>
      <c r="AC58" s="982" t="s">
        <v>5822</v>
      </c>
      <c r="AD58" s="1002" t="s">
        <v>369</v>
      </c>
      <c r="AE58" s="983" t="s">
        <v>5823</v>
      </c>
      <c r="AF58" s="1002" t="s">
        <v>369</v>
      </c>
      <c r="AG58" s="983" t="s">
        <v>5824</v>
      </c>
      <c r="AH58" s="1002" t="s">
        <v>369</v>
      </c>
      <c r="AI58" s="983" t="s">
        <v>5825</v>
      </c>
      <c r="AJ58" s="1002" t="s">
        <v>369</v>
      </c>
      <c r="AK58" s="983" t="s">
        <v>5826</v>
      </c>
      <c r="AL58" s="1002" t="s">
        <v>369</v>
      </c>
      <c r="AM58" s="983" t="s">
        <v>5827</v>
      </c>
      <c r="AN58" s="1002" t="s">
        <v>369</v>
      </c>
      <c r="AO58" s="983" t="s">
        <v>5828</v>
      </c>
      <c r="AP58" s="1002" t="s">
        <v>369</v>
      </c>
      <c r="AQ58" s="983" t="s">
        <v>5829</v>
      </c>
      <c r="AR58" s="1002" t="s">
        <v>369</v>
      </c>
      <c r="AS58" s="983" t="s">
        <v>5830</v>
      </c>
      <c r="AT58" s="1016" t="s">
        <v>369</v>
      </c>
      <c r="AU58" s="983" t="s">
        <v>5831</v>
      </c>
      <c r="AV58" s="1016" t="s">
        <v>369</v>
      </c>
      <c r="AW58" s="983" t="s">
        <v>5832</v>
      </c>
      <c r="AX58" s="1016" t="s">
        <v>369</v>
      </c>
      <c r="AY58" s="983" t="s">
        <v>5833</v>
      </c>
      <c r="AZ58" s="1016" t="s">
        <v>369</v>
      </c>
      <c r="BA58" s="983" t="s">
        <v>5834</v>
      </c>
      <c r="BB58" s="1016" t="s">
        <v>369</v>
      </c>
      <c r="BC58" s="983" t="s">
        <v>5835</v>
      </c>
      <c r="BD58" s="1016" t="s">
        <v>369</v>
      </c>
      <c r="BE58" s="983" t="s">
        <v>5836</v>
      </c>
      <c r="BF58" s="1016" t="s">
        <v>369</v>
      </c>
      <c r="BG58" s="983" t="s">
        <v>5837</v>
      </c>
      <c r="BH58" s="1016" t="s">
        <v>369</v>
      </c>
      <c r="BI58" s="982" t="s">
        <v>5838</v>
      </c>
      <c r="BJ58" s="1002" t="s">
        <v>369</v>
      </c>
      <c r="BK58" s="983" t="s">
        <v>5839</v>
      </c>
      <c r="BL58" s="1002" t="s">
        <v>369</v>
      </c>
    </row>
    <row r="59" spans="2:64">
      <c r="B59" s="974" t="s">
        <v>5840</v>
      </c>
      <c r="C59" s="982" t="s">
        <v>5841</v>
      </c>
      <c r="D59" s="1002" t="s">
        <v>369</v>
      </c>
      <c r="E59" s="982" t="s">
        <v>5842</v>
      </c>
      <c r="F59" s="1002" t="s">
        <v>369</v>
      </c>
      <c r="G59" s="982" t="s">
        <v>5843</v>
      </c>
      <c r="H59" s="1002" t="s">
        <v>369</v>
      </c>
      <c r="I59" s="982" t="s">
        <v>5844</v>
      </c>
      <c r="J59" s="1002" t="s">
        <v>369</v>
      </c>
      <c r="K59" s="982" t="s">
        <v>5845</v>
      </c>
      <c r="L59" s="1002" t="s">
        <v>369</v>
      </c>
      <c r="M59" s="982" t="s">
        <v>5846</v>
      </c>
      <c r="N59" s="1002" t="s">
        <v>369</v>
      </c>
      <c r="O59" s="982" t="s">
        <v>5847</v>
      </c>
      <c r="P59" s="1002" t="s">
        <v>369</v>
      </c>
      <c r="Q59" s="982" t="s">
        <v>5848</v>
      </c>
      <c r="R59" s="1002" t="s">
        <v>369</v>
      </c>
      <c r="S59" s="982" t="s">
        <v>5849</v>
      </c>
      <c r="T59" s="1002" t="s">
        <v>369</v>
      </c>
      <c r="U59" s="982" t="s">
        <v>5850</v>
      </c>
      <c r="V59" s="1002" t="s">
        <v>369</v>
      </c>
      <c r="W59" s="982" t="s">
        <v>5851</v>
      </c>
      <c r="X59" s="1002" t="s">
        <v>369</v>
      </c>
      <c r="Y59" s="982" t="s">
        <v>5852</v>
      </c>
      <c r="Z59" s="1002" t="s">
        <v>369</v>
      </c>
      <c r="AA59" s="982" t="s">
        <v>5853</v>
      </c>
      <c r="AB59" s="1002" t="s">
        <v>369</v>
      </c>
      <c r="AC59" s="982" t="s">
        <v>5854</v>
      </c>
      <c r="AD59" s="1002" t="s">
        <v>369</v>
      </c>
      <c r="AE59" s="983" t="s">
        <v>5855</v>
      </c>
      <c r="AF59" s="1002" t="s">
        <v>369</v>
      </c>
      <c r="AG59" s="983" t="s">
        <v>5856</v>
      </c>
      <c r="AH59" s="1002" t="s">
        <v>369</v>
      </c>
      <c r="AI59" s="983" t="s">
        <v>5857</v>
      </c>
      <c r="AJ59" s="1002" t="s">
        <v>369</v>
      </c>
      <c r="AK59" s="983" t="s">
        <v>5858</v>
      </c>
      <c r="AL59" s="1002" t="s">
        <v>369</v>
      </c>
      <c r="AM59" s="983" t="s">
        <v>5859</v>
      </c>
      <c r="AN59" s="1002" t="s">
        <v>369</v>
      </c>
      <c r="AO59" s="983" t="s">
        <v>5860</v>
      </c>
      <c r="AP59" s="1002" t="s">
        <v>369</v>
      </c>
      <c r="AQ59" s="983" t="s">
        <v>5861</v>
      </c>
      <c r="AR59" s="1002" t="s">
        <v>369</v>
      </c>
      <c r="AS59" s="983" t="s">
        <v>5862</v>
      </c>
      <c r="AT59" s="1016" t="s">
        <v>369</v>
      </c>
      <c r="AU59" s="983" t="s">
        <v>5863</v>
      </c>
      <c r="AV59" s="1016" t="s">
        <v>369</v>
      </c>
      <c r="AW59" s="983" t="s">
        <v>5864</v>
      </c>
      <c r="AX59" s="1016" t="s">
        <v>369</v>
      </c>
      <c r="AY59" s="983" t="s">
        <v>5865</v>
      </c>
      <c r="AZ59" s="1016" t="s">
        <v>369</v>
      </c>
      <c r="BA59" s="983" t="s">
        <v>5866</v>
      </c>
      <c r="BB59" s="1016" t="s">
        <v>369</v>
      </c>
      <c r="BC59" s="983" t="s">
        <v>5867</v>
      </c>
      <c r="BD59" s="1016" t="s">
        <v>369</v>
      </c>
      <c r="BE59" s="983" t="s">
        <v>5868</v>
      </c>
      <c r="BF59" s="1016" t="s">
        <v>369</v>
      </c>
      <c r="BG59" s="983" t="s">
        <v>5869</v>
      </c>
      <c r="BH59" s="1016" t="s">
        <v>369</v>
      </c>
      <c r="BI59" s="982" t="s">
        <v>5870</v>
      </c>
      <c r="BJ59" s="1002" t="s">
        <v>369</v>
      </c>
      <c r="BK59" s="983" t="s">
        <v>5871</v>
      </c>
      <c r="BL59" s="1002" t="s">
        <v>369</v>
      </c>
    </row>
    <row r="60" spans="2:64">
      <c r="B60" s="1053" t="s">
        <v>5872</v>
      </c>
      <c r="C60" s="982" t="s">
        <v>5873</v>
      </c>
      <c r="D60" s="1002" t="s">
        <v>369</v>
      </c>
      <c r="E60" s="982" t="s">
        <v>5874</v>
      </c>
      <c r="F60" s="1002" t="s">
        <v>369</v>
      </c>
      <c r="G60" s="982" t="s">
        <v>5875</v>
      </c>
      <c r="H60" s="1002" t="s">
        <v>369</v>
      </c>
      <c r="I60" s="982" t="s">
        <v>5876</v>
      </c>
      <c r="J60" s="1002" t="s">
        <v>369</v>
      </c>
      <c r="K60" s="982" t="s">
        <v>5877</v>
      </c>
      <c r="L60" s="1002" t="s">
        <v>369</v>
      </c>
      <c r="M60" s="982" t="s">
        <v>5878</v>
      </c>
      <c r="N60" s="1002" t="s">
        <v>369</v>
      </c>
      <c r="O60" s="982" t="s">
        <v>5879</v>
      </c>
      <c r="P60" s="1002" t="s">
        <v>369</v>
      </c>
      <c r="Q60" s="982" t="s">
        <v>5880</v>
      </c>
      <c r="R60" s="1002" t="s">
        <v>369</v>
      </c>
      <c r="S60" s="982" t="s">
        <v>5881</v>
      </c>
      <c r="T60" s="1002" t="s">
        <v>369</v>
      </c>
      <c r="U60" s="982" t="s">
        <v>5882</v>
      </c>
      <c r="V60" s="1002" t="s">
        <v>369</v>
      </c>
      <c r="W60" s="982" t="s">
        <v>5883</v>
      </c>
      <c r="X60" s="1002" t="s">
        <v>369</v>
      </c>
      <c r="Y60" s="982" t="s">
        <v>5884</v>
      </c>
      <c r="Z60" s="1002" t="s">
        <v>369</v>
      </c>
      <c r="AA60" s="982" t="s">
        <v>5885</v>
      </c>
      <c r="AB60" s="1002" t="s">
        <v>369</v>
      </c>
      <c r="AC60" s="982" t="s">
        <v>5886</v>
      </c>
      <c r="AD60" s="1002" t="s">
        <v>369</v>
      </c>
      <c r="AE60" s="983" t="s">
        <v>5887</v>
      </c>
      <c r="AF60" s="1002" t="s">
        <v>369</v>
      </c>
      <c r="AG60" s="983" t="s">
        <v>5888</v>
      </c>
      <c r="AH60" s="1002" t="s">
        <v>369</v>
      </c>
      <c r="AI60" s="983" t="s">
        <v>5889</v>
      </c>
      <c r="AJ60" s="1002" t="s">
        <v>369</v>
      </c>
      <c r="AK60" s="983" t="s">
        <v>5890</v>
      </c>
      <c r="AL60" s="1002" t="s">
        <v>369</v>
      </c>
      <c r="AM60" s="983" t="s">
        <v>5891</v>
      </c>
      <c r="AN60" s="1002" t="s">
        <v>369</v>
      </c>
      <c r="AO60" s="983" t="s">
        <v>5892</v>
      </c>
      <c r="AP60" s="1002" t="s">
        <v>369</v>
      </c>
      <c r="AQ60" s="983" t="s">
        <v>5893</v>
      </c>
      <c r="AR60" s="1002" t="s">
        <v>369</v>
      </c>
      <c r="AS60" s="983" t="s">
        <v>5894</v>
      </c>
      <c r="AT60" s="1016" t="s">
        <v>369</v>
      </c>
      <c r="AU60" s="983" t="s">
        <v>5895</v>
      </c>
      <c r="AV60" s="1016" t="s">
        <v>369</v>
      </c>
      <c r="AW60" s="983" t="s">
        <v>5896</v>
      </c>
      <c r="AX60" s="1016" t="s">
        <v>369</v>
      </c>
      <c r="AY60" s="983" t="s">
        <v>5897</v>
      </c>
      <c r="AZ60" s="1016" t="s">
        <v>369</v>
      </c>
      <c r="BA60" s="983" t="s">
        <v>5898</v>
      </c>
      <c r="BB60" s="1016" t="s">
        <v>369</v>
      </c>
      <c r="BC60" s="983" t="s">
        <v>5899</v>
      </c>
      <c r="BD60" s="1016" t="s">
        <v>369</v>
      </c>
      <c r="BE60" s="983" t="s">
        <v>5900</v>
      </c>
      <c r="BF60" s="1016" t="s">
        <v>369</v>
      </c>
      <c r="BG60" s="983" t="s">
        <v>5901</v>
      </c>
      <c r="BH60" s="1016" t="s">
        <v>369</v>
      </c>
      <c r="BI60" s="982" t="s">
        <v>5902</v>
      </c>
      <c r="BJ60" s="1002" t="s">
        <v>369</v>
      </c>
      <c r="BK60" s="983" t="s">
        <v>5903</v>
      </c>
      <c r="BL60" s="1002" t="s">
        <v>369</v>
      </c>
    </row>
    <row r="61" spans="2:64" ht="15.75" thickBot="1">
      <c r="B61" s="1051" t="s">
        <v>5904</v>
      </c>
      <c r="C61" s="976" t="s">
        <v>5905</v>
      </c>
      <c r="D61" s="1003" t="s">
        <v>369</v>
      </c>
      <c r="E61" s="976" t="s">
        <v>5906</v>
      </c>
      <c r="F61" s="1003" t="s">
        <v>369</v>
      </c>
      <c r="G61" s="976" t="s">
        <v>5907</v>
      </c>
      <c r="H61" s="1003" t="s">
        <v>369</v>
      </c>
      <c r="I61" s="976" t="s">
        <v>5908</v>
      </c>
      <c r="J61" s="1003" t="s">
        <v>369</v>
      </c>
      <c r="K61" s="976" t="s">
        <v>5909</v>
      </c>
      <c r="L61" s="1003" t="s">
        <v>369</v>
      </c>
      <c r="M61" s="976" t="s">
        <v>5910</v>
      </c>
      <c r="N61" s="1003" t="s">
        <v>369</v>
      </c>
      <c r="O61" s="976" t="s">
        <v>5911</v>
      </c>
      <c r="P61" s="1003" t="s">
        <v>369</v>
      </c>
      <c r="Q61" s="976" t="s">
        <v>5912</v>
      </c>
      <c r="R61" s="1003" t="s">
        <v>369</v>
      </c>
      <c r="S61" s="976" t="s">
        <v>5913</v>
      </c>
      <c r="T61" s="1003" t="s">
        <v>369</v>
      </c>
      <c r="U61" s="976" t="s">
        <v>5914</v>
      </c>
      <c r="V61" s="1003" t="s">
        <v>369</v>
      </c>
      <c r="W61" s="976" t="s">
        <v>5915</v>
      </c>
      <c r="X61" s="1003" t="s">
        <v>369</v>
      </c>
      <c r="Y61" s="976" t="s">
        <v>5916</v>
      </c>
      <c r="Z61" s="1003" t="s">
        <v>369</v>
      </c>
      <c r="AA61" s="976" t="s">
        <v>5917</v>
      </c>
      <c r="AB61" s="1003" t="s">
        <v>369</v>
      </c>
      <c r="AC61" s="976" t="s">
        <v>5918</v>
      </c>
      <c r="AD61" s="1003" t="s">
        <v>369</v>
      </c>
      <c r="AE61" s="978" t="s">
        <v>5919</v>
      </c>
      <c r="AF61" s="1003" t="s">
        <v>369</v>
      </c>
      <c r="AG61" s="978" t="s">
        <v>5920</v>
      </c>
      <c r="AH61" s="1003" t="s">
        <v>369</v>
      </c>
      <c r="AI61" s="978" t="s">
        <v>5921</v>
      </c>
      <c r="AJ61" s="1003" t="s">
        <v>369</v>
      </c>
      <c r="AK61" s="978" t="s">
        <v>5922</v>
      </c>
      <c r="AL61" s="1003" t="s">
        <v>369</v>
      </c>
      <c r="AM61" s="978" t="s">
        <v>5923</v>
      </c>
      <c r="AN61" s="1003" t="s">
        <v>369</v>
      </c>
      <c r="AO61" s="978" t="s">
        <v>5924</v>
      </c>
      <c r="AP61" s="1003" t="s">
        <v>369</v>
      </c>
      <c r="AQ61" s="978" t="s">
        <v>5925</v>
      </c>
      <c r="AR61" s="1003" t="s">
        <v>369</v>
      </c>
      <c r="AS61" s="978" t="s">
        <v>5926</v>
      </c>
      <c r="AT61" s="1017" t="s">
        <v>369</v>
      </c>
      <c r="AU61" s="978" t="s">
        <v>5927</v>
      </c>
      <c r="AV61" s="1017" t="s">
        <v>369</v>
      </c>
      <c r="AW61" s="978" t="s">
        <v>5928</v>
      </c>
      <c r="AX61" s="1017" t="s">
        <v>369</v>
      </c>
      <c r="AY61" s="978" t="s">
        <v>5929</v>
      </c>
      <c r="AZ61" s="1017" t="s">
        <v>369</v>
      </c>
      <c r="BA61" s="978" t="s">
        <v>5930</v>
      </c>
      <c r="BB61" s="1017" t="s">
        <v>369</v>
      </c>
      <c r="BC61" s="978" t="s">
        <v>5931</v>
      </c>
      <c r="BD61" s="1017" t="s">
        <v>369</v>
      </c>
      <c r="BE61" s="978" t="s">
        <v>5932</v>
      </c>
      <c r="BF61" s="1017" t="s">
        <v>369</v>
      </c>
      <c r="BG61" s="978" t="s">
        <v>5933</v>
      </c>
      <c r="BH61" s="1017" t="s">
        <v>369</v>
      </c>
      <c r="BI61" s="976" t="s">
        <v>5934</v>
      </c>
      <c r="BJ61" s="1003" t="s">
        <v>369</v>
      </c>
      <c r="BK61" s="978" t="s">
        <v>5935</v>
      </c>
      <c r="BL61" s="1003" t="s">
        <v>369</v>
      </c>
    </row>
    <row r="62" spans="2:64" ht="25.5">
      <c r="B62" s="1052" t="s">
        <v>5936</v>
      </c>
      <c r="C62" s="970" t="s">
        <v>5937</v>
      </c>
      <c r="D62" s="1001" t="s">
        <v>369</v>
      </c>
      <c r="E62" s="970" t="s">
        <v>5938</v>
      </c>
      <c r="F62" s="1001" t="s">
        <v>369</v>
      </c>
      <c r="G62" s="970" t="s">
        <v>5939</v>
      </c>
      <c r="H62" s="1001" t="s">
        <v>369</v>
      </c>
      <c r="I62" s="970" t="s">
        <v>5940</v>
      </c>
      <c r="J62" s="1001" t="s">
        <v>369</v>
      </c>
      <c r="K62" s="970" t="s">
        <v>5941</v>
      </c>
      <c r="L62" s="1001" t="s">
        <v>369</v>
      </c>
      <c r="M62" s="970" t="s">
        <v>5942</v>
      </c>
      <c r="N62" s="1001" t="s">
        <v>369</v>
      </c>
      <c r="O62" s="970" t="s">
        <v>5943</v>
      </c>
      <c r="P62" s="1001" t="s">
        <v>369</v>
      </c>
      <c r="Q62" s="970" t="s">
        <v>5944</v>
      </c>
      <c r="R62" s="1001" t="s">
        <v>369</v>
      </c>
      <c r="S62" s="970" t="s">
        <v>5945</v>
      </c>
      <c r="T62" s="1001" t="s">
        <v>369</v>
      </c>
      <c r="U62" s="970" t="s">
        <v>5946</v>
      </c>
      <c r="V62" s="1001" t="s">
        <v>369</v>
      </c>
      <c r="W62" s="970" t="s">
        <v>5947</v>
      </c>
      <c r="X62" s="1001" t="s">
        <v>369</v>
      </c>
      <c r="Y62" s="970" t="s">
        <v>5948</v>
      </c>
      <c r="Z62" s="1001" t="s">
        <v>369</v>
      </c>
      <c r="AA62" s="970" t="s">
        <v>5949</v>
      </c>
      <c r="AB62" s="1001" t="s">
        <v>369</v>
      </c>
      <c r="AC62" s="970" t="s">
        <v>5950</v>
      </c>
      <c r="AD62" s="1001" t="s">
        <v>369</v>
      </c>
      <c r="AE62" s="971" t="s">
        <v>5951</v>
      </c>
      <c r="AF62" s="1001" t="s">
        <v>369</v>
      </c>
      <c r="AG62" s="971" t="s">
        <v>5952</v>
      </c>
      <c r="AH62" s="1001" t="s">
        <v>369</v>
      </c>
      <c r="AI62" s="971" t="s">
        <v>5953</v>
      </c>
      <c r="AJ62" s="1001" t="s">
        <v>369</v>
      </c>
      <c r="AK62" s="971" t="s">
        <v>5954</v>
      </c>
      <c r="AL62" s="1001" t="s">
        <v>369</v>
      </c>
      <c r="AM62" s="971" t="s">
        <v>5955</v>
      </c>
      <c r="AN62" s="1001" t="s">
        <v>369</v>
      </c>
      <c r="AO62" s="971" t="s">
        <v>5956</v>
      </c>
      <c r="AP62" s="1001" t="s">
        <v>369</v>
      </c>
      <c r="AQ62" s="971" t="s">
        <v>5957</v>
      </c>
      <c r="AR62" s="1001" t="s">
        <v>369</v>
      </c>
      <c r="AS62" s="971" t="s">
        <v>5958</v>
      </c>
      <c r="AT62" s="1015" t="s">
        <v>369</v>
      </c>
      <c r="AU62" s="971" t="s">
        <v>5959</v>
      </c>
      <c r="AV62" s="1015" t="s">
        <v>369</v>
      </c>
      <c r="AW62" s="971" t="s">
        <v>5960</v>
      </c>
      <c r="AX62" s="1015" t="s">
        <v>369</v>
      </c>
      <c r="AY62" s="971" t="s">
        <v>5961</v>
      </c>
      <c r="AZ62" s="1015" t="s">
        <v>369</v>
      </c>
      <c r="BA62" s="971" t="s">
        <v>5962</v>
      </c>
      <c r="BB62" s="1015" t="s">
        <v>369</v>
      </c>
      <c r="BC62" s="971" t="s">
        <v>5963</v>
      </c>
      <c r="BD62" s="1015" t="s">
        <v>369</v>
      </c>
      <c r="BE62" s="971" t="s">
        <v>5964</v>
      </c>
      <c r="BF62" s="1015" t="s">
        <v>369</v>
      </c>
      <c r="BG62" s="971" t="s">
        <v>5965</v>
      </c>
      <c r="BH62" s="1015" t="s">
        <v>369</v>
      </c>
      <c r="BI62" s="970" t="s">
        <v>5966</v>
      </c>
      <c r="BJ62" s="1001" t="s">
        <v>369</v>
      </c>
      <c r="BK62" s="971" t="s">
        <v>5967</v>
      </c>
      <c r="BL62" s="1001" t="s">
        <v>369</v>
      </c>
    </row>
    <row r="63" spans="2:64" ht="39" thickBot="1">
      <c r="B63" s="987" t="s">
        <v>5968</v>
      </c>
      <c r="C63" s="988" t="s">
        <v>5969</v>
      </c>
      <c r="D63" s="1003" t="s">
        <v>369</v>
      </c>
      <c r="E63" s="988" t="s">
        <v>5970</v>
      </c>
      <c r="F63" s="1003" t="s">
        <v>369</v>
      </c>
      <c r="G63" s="988" t="s">
        <v>5971</v>
      </c>
      <c r="H63" s="1003" t="s">
        <v>369</v>
      </c>
      <c r="I63" s="988" t="s">
        <v>5972</v>
      </c>
      <c r="J63" s="1003" t="s">
        <v>369</v>
      </c>
      <c r="K63" s="988" t="s">
        <v>5973</v>
      </c>
      <c r="L63" s="1003" t="s">
        <v>369</v>
      </c>
      <c r="M63" s="988" t="s">
        <v>5974</v>
      </c>
      <c r="N63" s="1003" t="s">
        <v>369</v>
      </c>
      <c r="O63" s="988" t="s">
        <v>5975</v>
      </c>
      <c r="P63" s="1003" t="s">
        <v>369</v>
      </c>
      <c r="Q63" s="988" t="s">
        <v>5976</v>
      </c>
      <c r="R63" s="1003" t="s">
        <v>369</v>
      </c>
      <c r="S63" s="988" t="s">
        <v>5977</v>
      </c>
      <c r="T63" s="1003" t="s">
        <v>369</v>
      </c>
      <c r="U63" s="988" t="s">
        <v>5978</v>
      </c>
      <c r="V63" s="1003" t="s">
        <v>369</v>
      </c>
      <c r="W63" s="988" t="s">
        <v>5979</v>
      </c>
      <c r="X63" s="1003" t="s">
        <v>369</v>
      </c>
      <c r="Y63" s="988" t="s">
        <v>5980</v>
      </c>
      <c r="Z63" s="1003" t="s">
        <v>369</v>
      </c>
      <c r="AA63" s="988" t="s">
        <v>5981</v>
      </c>
      <c r="AB63" s="1003" t="s">
        <v>369</v>
      </c>
      <c r="AC63" s="988" t="s">
        <v>5982</v>
      </c>
      <c r="AD63" s="1003" t="s">
        <v>369</v>
      </c>
      <c r="AE63" s="979" t="s">
        <v>5983</v>
      </c>
      <c r="AF63" s="1003" t="s">
        <v>369</v>
      </c>
      <c r="AG63" s="979" t="s">
        <v>5984</v>
      </c>
      <c r="AH63" s="1003" t="s">
        <v>369</v>
      </c>
      <c r="AI63" s="979" t="s">
        <v>5985</v>
      </c>
      <c r="AJ63" s="1003" t="s">
        <v>369</v>
      </c>
      <c r="AK63" s="979" t="s">
        <v>5986</v>
      </c>
      <c r="AL63" s="1003" t="s">
        <v>369</v>
      </c>
      <c r="AM63" s="979" t="s">
        <v>5987</v>
      </c>
      <c r="AN63" s="1003" t="s">
        <v>369</v>
      </c>
      <c r="AO63" s="979" t="s">
        <v>5988</v>
      </c>
      <c r="AP63" s="1003" t="s">
        <v>369</v>
      </c>
      <c r="AQ63" s="979" t="s">
        <v>5989</v>
      </c>
      <c r="AR63" s="1003" t="s">
        <v>369</v>
      </c>
      <c r="AS63" s="979" t="s">
        <v>5990</v>
      </c>
      <c r="AT63" s="1017" t="s">
        <v>369</v>
      </c>
      <c r="AU63" s="979" t="s">
        <v>5991</v>
      </c>
      <c r="AV63" s="1017" t="s">
        <v>369</v>
      </c>
      <c r="AW63" s="979" t="s">
        <v>5992</v>
      </c>
      <c r="AX63" s="1017" t="s">
        <v>369</v>
      </c>
      <c r="AY63" s="979" t="s">
        <v>5993</v>
      </c>
      <c r="AZ63" s="1017" t="s">
        <v>369</v>
      </c>
      <c r="BA63" s="979" t="s">
        <v>5994</v>
      </c>
      <c r="BB63" s="1017" t="s">
        <v>369</v>
      </c>
      <c r="BC63" s="979" t="s">
        <v>5995</v>
      </c>
      <c r="BD63" s="1017" t="s">
        <v>369</v>
      </c>
      <c r="BE63" s="979" t="s">
        <v>5996</v>
      </c>
      <c r="BF63" s="1017" t="s">
        <v>369</v>
      </c>
      <c r="BG63" s="979" t="s">
        <v>5997</v>
      </c>
      <c r="BH63" s="1017" t="s">
        <v>369</v>
      </c>
      <c r="BI63" s="988" t="s">
        <v>5998</v>
      </c>
      <c r="BJ63" s="1003" t="s">
        <v>369</v>
      </c>
      <c r="BK63" s="979" t="s">
        <v>5999</v>
      </c>
      <c r="BL63" s="1003" t="s">
        <v>369</v>
      </c>
    </row>
    <row r="64" spans="2:64">
      <c r="B64" s="1052" t="s">
        <v>6000</v>
      </c>
      <c r="C64" s="970" t="s">
        <v>6001</v>
      </c>
      <c r="D64" s="1001" t="s">
        <v>369</v>
      </c>
      <c r="E64" s="970" t="s">
        <v>6002</v>
      </c>
      <c r="F64" s="1001" t="s">
        <v>369</v>
      </c>
      <c r="G64" s="970" t="s">
        <v>6003</v>
      </c>
      <c r="H64" s="1001" t="s">
        <v>369</v>
      </c>
      <c r="I64" s="970" t="s">
        <v>6004</v>
      </c>
      <c r="J64" s="1001" t="s">
        <v>369</v>
      </c>
      <c r="K64" s="970" t="s">
        <v>6005</v>
      </c>
      <c r="L64" s="1001" t="s">
        <v>369</v>
      </c>
      <c r="M64" s="970" t="s">
        <v>6006</v>
      </c>
      <c r="N64" s="1001" t="s">
        <v>369</v>
      </c>
      <c r="O64" s="970" t="s">
        <v>6007</v>
      </c>
      <c r="P64" s="1001" t="s">
        <v>369</v>
      </c>
      <c r="Q64" s="970" t="s">
        <v>6008</v>
      </c>
      <c r="R64" s="1001" t="s">
        <v>369</v>
      </c>
      <c r="S64" s="970" t="s">
        <v>6009</v>
      </c>
      <c r="T64" s="1001" t="s">
        <v>369</v>
      </c>
      <c r="U64" s="970" t="s">
        <v>6010</v>
      </c>
      <c r="V64" s="1001" t="s">
        <v>369</v>
      </c>
      <c r="W64" s="970" t="s">
        <v>6011</v>
      </c>
      <c r="X64" s="1001" t="s">
        <v>369</v>
      </c>
      <c r="Y64" s="970" t="s">
        <v>6012</v>
      </c>
      <c r="Z64" s="1001" t="s">
        <v>369</v>
      </c>
      <c r="AA64" s="970" t="s">
        <v>6013</v>
      </c>
      <c r="AB64" s="1001" t="s">
        <v>369</v>
      </c>
      <c r="AC64" s="970" t="s">
        <v>6014</v>
      </c>
      <c r="AD64" s="1001" t="s">
        <v>369</v>
      </c>
      <c r="AE64" s="971" t="s">
        <v>6015</v>
      </c>
      <c r="AF64" s="1001" t="s">
        <v>369</v>
      </c>
      <c r="AG64" s="971" t="s">
        <v>6016</v>
      </c>
      <c r="AH64" s="1001" t="s">
        <v>369</v>
      </c>
      <c r="AI64" s="971" t="s">
        <v>6017</v>
      </c>
      <c r="AJ64" s="1001" t="s">
        <v>369</v>
      </c>
      <c r="AK64" s="971" t="s">
        <v>6018</v>
      </c>
      <c r="AL64" s="1001" t="s">
        <v>369</v>
      </c>
      <c r="AM64" s="971" t="s">
        <v>6019</v>
      </c>
      <c r="AN64" s="1001" t="s">
        <v>369</v>
      </c>
      <c r="AO64" s="971" t="s">
        <v>6020</v>
      </c>
      <c r="AP64" s="1001" t="s">
        <v>369</v>
      </c>
      <c r="AQ64" s="971" t="s">
        <v>6021</v>
      </c>
      <c r="AR64" s="1001" t="s">
        <v>369</v>
      </c>
      <c r="AS64" s="971"/>
      <c r="AT64" s="1012"/>
      <c r="AU64" s="971"/>
      <c r="AV64" s="1012"/>
      <c r="AW64" s="971"/>
      <c r="AX64" s="1012"/>
      <c r="AY64" s="971"/>
      <c r="AZ64" s="1012"/>
      <c r="BA64" s="971"/>
      <c r="BB64" s="1012"/>
      <c r="BC64" s="971"/>
      <c r="BD64" s="1012"/>
      <c r="BE64" s="971"/>
      <c r="BF64" s="1012"/>
      <c r="BG64" s="971"/>
      <c r="BH64" s="1012"/>
      <c r="BI64" s="970" t="s">
        <v>6022</v>
      </c>
      <c r="BJ64" s="1001" t="s">
        <v>369</v>
      </c>
      <c r="BK64" s="971" t="s">
        <v>6023</v>
      </c>
      <c r="BL64" s="1001" t="s">
        <v>369</v>
      </c>
    </row>
    <row r="65" spans="2:64">
      <c r="B65" s="1054" t="s">
        <v>6024</v>
      </c>
      <c r="C65" s="973" t="s">
        <v>6025</v>
      </c>
      <c r="D65" s="1002" t="s">
        <v>369</v>
      </c>
      <c r="E65" s="973" t="s">
        <v>6026</v>
      </c>
      <c r="F65" s="1002" t="s">
        <v>369</v>
      </c>
      <c r="G65" s="973" t="s">
        <v>6027</v>
      </c>
      <c r="H65" s="1002" t="s">
        <v>369</v>
      </c>
      <c r="I65" s="973" t="s">
        <v>6028</v>
      </c>
      <c r="J65" s="1002" t="s">
        <v>369</v>
      </c>
      <c r="K65" s="973" t="s">
        <v>6029</v>
      </c>
      <c r="L65" s="1002" t="s">
        <v>369</v>
      </c>
      <c r="M65" s="973" t="s">
        <v>6030</v>
      </c>
      <c r="N65" s="1002" t="s">
        <v>369</v>
      </c>
      <c r="O65" s="973" t="s">
        <v>6031</v>
      </c>
      <c r="P65" s="1002" t="s">
        <v>369</v>
      </c>
      <c r="Q65" s="973" t="s">
        <v>6032</v>
      </c>
      <c r="R65" s="1002" t="s">
        <v>369</v>
      </c>
      <c r="S65" s="973" t="s">
        <v>6033</v>
      </c>
      <c r="T65" s="1002" t="s">
        <v>369</v>
      </c>
      <c r="U65" s="973" t="s">
        <v>6034</v>
      </c>
      <c r="V65" s="1002" t="s">
        <v>369</v>
      </c>
      <c r="W65" s="973" t="s">
        <v>6035</v>
      </c>
      <c r="X65" s="1002" t="s">
        <v>369</v>
      </c>
      <c r="Y65" s="973" t="s">
        <v>6036</v>
      </c>
      <c r="Z65" s="1002" t="s">
        <v>369</v>
      </c>
      <c r="AA65" s="973" t="s">
        <v>6037</v>
      </c>
      <c r="AB65" s="1002" t="s">
        <v>369</v>
      </c>
      <c r="AC65" s="973" t="s">
        <v>6038</v>
      </c>
      <c r="AD65" s="1002" t="s">
        <v>369</v>
      </c>
      <c r="AE65" s="964" t="s">
        <v>6039</v>
      </c>
      <c r="AF65" s="1002" t="s">
        <v>369</v>
      </c>
      <c r="AG65" s="964" t="s">
        <v>6040</v>
      </c>
      <c r="AH65" s="1002" t="s">
        <v>369</v>
      </c>
      <c r="AI65" s="964" t="s">
        <v>6041</v>
      </c>
      <c r="AJ65" s="1002" t="s">
        <v>369</v>
      </c>
      <c r="AK65" s="964" t="s">
        <v>6042</v>
      </c>
      <c r="AL65" s="1002" t="s">
        <v>369</v>
      </c>
      <c r="AM65" s="964" t="s">
        <v>6043</v>
      </c>
      <c r="AN65" s="1002" t="s">
        <v>369</v>
      </c>
      <c r="AO65" s="964" t="s">
        <v>6044</v>
      </c>
      <c r="AP65" s="1002" t="s">
        <v>369</v>
      </c>
      <c r="AQ65" s="964" t="s">
        <v>6045</v>
      </c>
      <c r="AR65" s="1002" t="s">
        <v>369</v>
      </c>
      <c r="BI65" s="973" t="s">
        <v>6046</v>
      </c>
      <c r="BJ65" s="1002" t="s">
        <v>369</v>
      </c>
      <c r="BK65" s="964" t="s">
        <v>6047</v>
      </c>
      <c r="BL65" s="1002" t="s">
        <v>369</v>
      </c>
    </row>
    <row r="66" spans="2:64">
      <c r="B66" s="1054" t="s">
        <v>6048</v>
      </c>
      <c r="C66" s="973" t="s">
        <v>6049</v>
      </c>
      <c r="D66" s="1002" t="s">
        <v>369</v>
      </c>
      <c r="E66" s="973" t="s">
        <v>6050</v>
      </c>
      <c r="F66" s="1002" t="s">
        <v>369</v>
      </c>
      <c r="G66" s="973" t="s">
        <v>6051</v>
      </c>
      <c r="H66" s="1002" t="s">
        <v>369</v>
      </c>
      <c r="I66" s="973" t="s">
        <v>6052</v>
      </c>
      <c r="J66" s="1002" t="s">
        <v>369</v>
      </c>
      <c r="K66" s="973" t="s">
        <v>6053</v>
      </c>
      <c r="L66" s="1002" t="s">
        <v>369</v>
      </c>
      <c r="M66" s="973" t="s">
        <v>6054</v>
      </c>
      <c r="N66" s="1002" t="s">
        <v>369</v>
      </c>
      <c r="O66" s="973" t="s">
        <v>6055</v>
      </c>
      <c r="P66" s="1002" t="s">
        <v>369</v>
      </c>
      <c r="Q66" s="973" t="s">
        <v>6056</v>
      </c>
      <c r="R66" s="1002" t="s">
        <v>369</v>
      </c>
      <c r="S66" s="973" t="s">
        <v>6057</v>
      </c>
      <c r="T66" s="1002" t="s">
        <v>369</v>
      </c>
      <c r="U66" s="973" t="s">
        <v>6058</v>
      </c>
      <c r="V66" s="1002" t="s">
        <v>369</v>
      </c>
      <c r="W66" s="973" t="s">
        <v>6059</v>
      </c>
      <c r="X66" s="1002" t="s">
        <v>369</v>
      </c>
      <c r="Y66" s="973" t="s">
        <v>6060</v>
      </c>
      <c r="Z66" s="1002" t="s">
        <v>369</v>
      </c>
      <c r="AA66" s="973" t="s">
        <v>6061</v>
      </c>
      <c r="AB66" s="1002" t="s">
        <v>369</v>
      </c>
      <c r="AC66" s="973" t="s">
        <v>6062</v>
      </c>
      <c r="AD66" s="1002" t="s">
        <v>369</v>
      </c>
      <c r="AE66" s="964" t="s">
        <v>6063</v>
      </c>
      <c r="AF66" s="1002" t="s">
        <v>369</v>
      </c>
      <c r="AG66" s="964" t="s">
        <v>6064</v>
      </c>
      <c r="AH66" s="1002" t="s">
        <v>369</v>
      </c>
      <c r="AI66" s="964" t="s">
        <v>6065</v>
      </c>
      <c r="AJ66" s="1002" t="s">
        <v>369</v>
      </c>
      <c r="AK66" s="964" t="s">
        <v>6066</v>
      </c>
      <c r="AL66" s="1002" t="s">
        <v>369</v>
      </c>
      <c r="AM66" s="964" t="s">
        <v>6067</v>
      </c>
      <c r="AN66" s="1002" t="s">
        <v>369</v>
      </c>
      <c r="AO66" s="964" t="s">
        <v>6068</v>
      </c>
      <c r="AP66" s="1002" t="s">
        <v>369</v>
      </c>
      <c r="AQ66" s="964" t="s">
        <v>6069</v>
      </c>
      <c r="AR66" s="1002" t="s">
        <v>369</v>
      </c>
      <c r="BI66" s="973" t="s">
        <v>6070</v>
      </c>
      <c r="BJ66" s="1002" t="s">
        <v>369</v>
      </c>
      <c r="BK66" s="964" t="s">
        <v>6071</v>
      </c>
      <c r="BL66" s="1002" t="s">
        <v>369</v>
      </c>
    </row>
    <row r="67" spans="2:64">
      <c r="B67" s="1053" t="s">
        <v>6072</v>
      </c>
      <c r="C67" s="973" t="s">
        <v>6073</v>
      </c>
      <c r="D67" s="1002" t="s">
        <v>369</v>
      </c>
      <c r="E67" s="973" t="s">
        <v>6074</v>
      </c>
      <c r="F67" s="1002" t="s">
        <v>369</v>
      </c>
      <c r="G67" s="973" t="s">
        <v>6075</v>
      </c>
      <c r="H67" s="1002" t="s">
        <v>369</v>
      </c>
      <c r="I67" s="973" t="s">
        <v>6076</v>
      </c>
      <c r="J67" s="1002" t="s">
        <v>369</v>
      </c>
      <c r="K67" s="973" t="s">
        <v>6077</v>
      </c>
      <c r="L67" s="1002" t="s">
        <v>369</v>
      </c>
      <c r="M67" s="973" t="s">
        <v>6078</v>
      </c>
      <c r="N67" s="1002" t="s">
        <v>369</v>
      </c>
      <c r="O67" s="973" t="s">
        <v>6079</v>
      </c>
      <c r="P67" s="1002" t="s">
        <v>369</v>
      </c>
      <c r="Q67" s="973" t="s">
        <v>6080</v>
      </c>
      <c r="R67" s="1002" t="s">
        <v>369</v>
      </c>
      <c r="S67" s="973" t="s">
        <v>6081</v>
      </c>
      <c r="T67" s="1002" t="s">
        <v>369</v>
      </c>
      <c r="U67" s="973" t="s">
        <v>6082</v>
      </c>
      <c r="V67" s="1002" t="s">
        <v>369</v>
      </c>
      <c r="W67" s="973" t="s">
        <v>6083</v>
      </c>
      <c r="X67" s="1002" t="s">
        <v>369</v>
      </c>
      <c r="Y67" s="973" t="s">
        <v>6084</v>
      </c>
      <c r="Z67" s="1002" t="s">
        <v>369</v>
      </c>
      <c r="AA67" s="973" t="s">
        <v>6085</v>
      </c>
      <c r="AB67" s="1002" t="s">
        <v>369</v>
      </c>
      <c r="AC67" s="973" t="s">
        <v>6086</v>
      </c>
      <c r="AD67" s="1002" t="s">
        <v>369</v>
      </c>
      <c r="AE67" s="964" t="s">
        <v>6087</v>
      </c>
      <c r="AF67" s="1002" t="s">
        <v>369</v>
      </c>
      <c r="AG67" s="964" t="s">
        <v>6088</v>
      </c>
      <c r="AH67" s="1002" t="s">
        <v>369</v>
      </c>
      <c r="AI67" s="964" t="s">
        <v>6089</v>
      </c>
      <c r="AJ67" s="1002" t="s">
        <v>369</v>
      </c>
      <c r="AK67" s="964" t="s">
        <v>6090</v>
      </c>
      <c r="AL67" s="1002" t="s">
        <v>369</v>
      </c>
      <c r="AM67" s="964" t="s">
        <v>6091</v>
      </c>
      <c r="AN67" s="1002" t="s">
        <v>369</v>
      </c>
      <c r="AO67" s="964" t="s">
        <v>6092</v>
      </c>
      <c r="AP67" s="1002" t="s">
        <v>369</v>
      </c>
      <c r="AQ67" s="964" t="s">
        <v>6093</v>
      </c>
      <c r="AR67" s="1002" t="s">
        <v>369</v>
      </c>
      <c r="BI67" s="973" t="s">
        <v>6094</v>
      </c>
      <c r="BJ67" s="1002" t="s">
        <v>369</v>
      </c>
      <c r="BK67" s="964" t="s">
        <v>6095</v>
      </c>
      <c r="BL67" s="1002" t="s">
        <v>369</v>
      </c>
    </row>
    <row r="68" spans="2:64" ht="15.75" thickBot="1">
      <c r="B68" s="987" t="s">
        <v>6096</v>
      </c>
      <c r="C68" s="988" t="s">
        <v>6097</v>
      </c>
      <c r="D68" s="1003" t="s">
        <v>369</v>
      </c>
      <c r="E68" s="988" t="s">
        <v>6098</v>
      </c>
      <c r="F68" s="1003" t="s">
        <v>369</v>
      </c>
      <c r="G68" s="988" t="s">
        <v>6099</v>
      </c>
      <c r="H68" s="1003" t="s">
        <v>369</v>
      </c>
      <c r="I68" s="988" t="s">
        <v>6100</v>
      </c>
      <c r="J68" s="1003" t="s">
        <v>369</v>
      </c>
      <c r="K68" s="988" t="s">
        <v>6101</v>
      </c>
      <c r="L68" s="1003" t="s">
        <v>369</v>
      </c>
      <c r="M68" s="988" t="s">
        <v>6102</v>
      </c>
      <c r="N68" s="1003" t="s">
        <v>369</v>
      </c>
      <c r="O68" s="988" t="s">
        <v>6103</v>
      </c>
      <c r="P68" s="1003" t="s">
        <v>369</v>
      </c>
      <c r="Q68" s="988" t="s">
        <v>6104</v>
      </c>
      <c r="R68" s="1003" t="s">
        <v>369</v>
      </c>
      <c r="S68" s="988" t="s">
        <v>6105</v>
      </c>
      <c r="T68" s="1003" t="s">
        <v>369</v>
      </c>
      <c r="U68" s="988" t="s">
        <v>6106</v>
      </c>
      <c r="V68" s="1003" t="s">
        <v>369</v>
      </c>
      <c r="W68" s="988" t="s">
        <v>6107</v>
      </c>
      <c r="X68" s="1003" t="s">
        <v>369</v>
      </c>
      <c r="Y68" s="988" t="s">
        <v>6108</v>
      </c>
      <c r="Z68" s="1003" t="s">
        <v>369</v>
      </c>
      <c r="AA68" s="988" t="s">
        <v>6109</v>
      </c>
      <c r="AB68" s="1003" t="s">
        <v>369</v>
      </c>
      <c r="AC68" s="988" t="s">
        <v>6110</v>
      </c>
      <c r="AD68" s="1003" t="s">
        <v>369</v>
      </c>
      <c r="AE68" s="979" t="s">
        <v>6111</v>
      </c>
      <c r="AF68" s="1003" t="s">
        <v>369</v>
      </c>
      <c r="AG68" s="979" t="s">
        <v>6112</v>
      </c>
      <c r="AH68" s="1003" t="s">
        <v>369</v>
      </c>
      <c r="AI68" s="979" t="s">
        <v>6113</v>
      </c>
      <c r="AJ68" s="1003" t="s">
        <v>369</v>
      </c>
      <c r="AK68" s="979" t="s">
        <v>6114</v>
      </c>
      <c r="AL68" s="1003" t="s">
        <v>369</v>
      </c>
      <c r="AM68" s="979" t="s">
        <v>6115</v>
      </c>
      <c r="AN68" s="1003" t="s">
        <v>369</v>
      </c>
      <c r="AO68" s="979" t="s">
        <v>6116</v>
      </c>
      <c r="AP68" s="1003" t="s">
        <v>369</v>
      </c>
      <c r="AQ68" s="979" t="s">
        <v>6117</v>
      </c>
      <c r="AR68" s="1003" t="s">
        <v>369</v>
      </c>
      <c r="AS68" s="979"/>
      <c r="AT68" s="1014"/>
      <c r="AU68" s="979"/>
      <c r="AV68" s="1014"/>
      <c r="AW68" s="979"/>
      <c r="AX68" s="1014"/>
      <c r="AY68" s="979"/>
      <c r="AZ68" s="1014"/>
      <c r="BA68" s="979"/>
      <c r="BB68" s="1014"/>
      <c r="BC68" s="979"/>
      <c r="BD68" s="1014"/>
      <c r="BE68" s="979"/>
      <c r="BF68" s="1014"/>
      <c r="BG68" s="979"/>
      <c r="BH68" s="1014"/>
      <c r="BI68" s="988" t="s">
        <v>6118</v>
      </c>
      <c r="BJ68" s="1003" t="s">
        <v>369</v>
      </c>
      <c r="BK68" s="979" t="s">
        <v>6119</v>
      </c>
      <c r="BL68" s="1003" t="s">
        <v>369</v>
      </c>
    </row>
    <row r="69" spans="2:64">
      <c r="B69" s="1052" t="s">
        <v>6120</v>
      </c>
      <c r="C69" s="970" t="s">
        <v>6121</v>
      </c>
      <c r="D69" s="1001" t="s">
        <v>369</v>
      </c>
      <c r="E69" s="970" t="s">
        <v>6122</v>
      </c>
      <c r="F69" s="1001" t="s">
        <v>369</v>
      </c>
      <c r="G69" s="970" t="s">
        <v>6123</v>
      </c>
      <c r="H69" s="1001" t="s">
        <v>369</v>
      </c>
      <c r="I69" s="970" t="s">
        <v>6124</v>
      </c>
      <c r="J69" s="1001" t="s">
        <v>369</v>
      </c>
      <c r="K69" s="970" t="s">
        <v>6125</v>
      </c>
      <c r="L69" s="1001" t="s">
        <v>369</v>
      </c>
      <c r="M69" s="970" t="s">
        <v>6126</v>
      </c>
      <c r="N69" s="1001" t="s">
        <v>369</v>
      </c>
      <c r="O69" s="970" t="s">
        <v>6127</v>
      </c>
      <c r="P69" s="1001" t="s">
        <v>369</v>
      </c>
      <c r="Q69" s="970" t="s">
        <v>6128</v>
      </c>
      <c r="R69" s="1001" t="s">
        <v>369</v>
      </c>
      <c r="S69" s="970" t="s">
        <v>6129</v>
      </c>
      <c r="T69" s="1001" t="s">
        <v>369</v>
      </c>
      <c r="U69" s="970" t="s">
        <v>6130</v>
      </c>
      <c r="V69" s="1001" t="s">
        <v>369</v>
      </c>
      <c r="W69" s="970" t="s">
        <v>6131</v>
      </c>
      <c r="X69" s="1001" t="s">
        <v>369</v>
      </c>
      <c r="Y69" s="970" t="s">
        <v>6132</v>
      </c>
      <c r="Z69" s="1001" t="s">
        <v>369</v>
      </c>
      <c r="AA69" s="970" t="s">
        <v>6133</v>
      </c>
      <c r="AB69" s="1001" t="s">
        <v>369</v>
      </c>
      <c r="AC69" s="970" t="s">
        <v>6134</v>
      </c>
      <c r="AD69" s="1001" t="s">
        <v>369</v>
      </c>
      <c r="AE69" s="971" t="s">
        <v>6135</v>
      </c>
      <c r="AF69" s="1001" t="s">
        <v>369</v>
      </c>
      <c r="AG69" s="971" t="s">
        <v>6136</v>
      </c>
      <c r="AH69" s="1001" t="s">
        <v>369</v>
      </c>
      <c r="AI69" s="971" t="s">
        <v>6137</v>
      </c>
      <c r="AJ69" s="1001" t="s">
        <v>369</v>
      </c>
      <c r="AK69" s="971" t="s">
        <v>6138</v>
      </c>
      <c r="AL69" s="1001" t="s">
        <v>369</v>
      </c>
      <c r="AM69" s="971" t="s">
        <v>6139</v>
      </c>
      <c r="AN69" s="1001" t="s">
        <v>369</v>
      </c>
      <c r="AO69" s="971" t="s">
        <v>6140</v>
      </c>
      <c r="AP69" s="1001" t="s">
        <v>369</v>
      </c>
      <c r="AQ69" s="971" t="s">
        <v>6141</v>
      </c>
      <c r="AR69" s="1001" t="s">
        <v>369</v>
      </c>
      <c r="AS69" s="971"/>
      <c r="AT69" s="1012"/>
      <c r="AU69" s="971"/>
      <c r="AV69" s="1012"/>
      <c r="AW69" s="971"/>
      <c r="AX69" s="1012"/>
      <c r="AY69" s="971"/>
      <c r="AZ69" s="1012"/>
      <c r="BA69" s="971"/>
      <c r="BB69" s="1012"/>
      <c r="BC69" s="971"/>
      <c r="BD69" s="1012"/>
      <c r="BE69" s="971"/>
      <c r="BF69" s="1012"/>
      <c r="BG69" s="971"/>
      <c r="BH69" s="1012"/>
      <c r="BI69" s="970" t="s">
        <v>6142</v>
      </c>
      <c r="BJ69" s="1001" t="s">
        <v>369</v>
      </c>
      <c r="BK69" s="971" t="s">
        <v>6143</v>
      </c>
      <c r="BL69" s="1001" t="s">
        <v>369</v>
      </c>
    </row>
    <row r="70" spans="2:64" ht="25.5">
      <c r="B70" s="1053" t="s">
        <v>6144</v>
      </c>
      <c r="C70" s="973" t="s">
        <v>6145</v>
      </c>
      <c r="D70" s="1002" t="s">
        <v>369</v>
      </c>
      <c r="E70" s="973" t="s">
        <v>6146</v>
      </c>
      <c r="F70" s="1002" t="s">
        <v>369</v>
      </c>
      <c r="G70" s="973" t="s">
        <v>6147</v>
      </c>
      <c r="H70" s="1002" t="s">
        <v>369</v>
      </c>
      <c r="I70" s="973" t="s">
        <v>6148</v>
      </c>
      <c r="J70" s="1002" t="s">
        <v>369</v>
      </c>
      <c r="K70" s="973" t="s">
        <v>6149</v>
      </c>
      <c r="L70" s="1002" t="s">
        <v>369</v>
      </c>
      <c r="M70" s="973" t="s">
        <v>6150</v>
      </c>
      <c r="N70" s="1002" t="s">
        <v>369</v>
      </c>
      <c r="O70" s="973" t="s">
        <v>6151</v>
      </c>
      <c r="P70" s="1002" t="s">
        <v>369</v>
      </c>
      <c r="Q70" s="973" t="s">
        <v>6152</v>
      </c>
      <c r="R70" s="1002" t="s">
        <v>369</v>
      </c>
      <c r="S70" s="973" t="s">
        <v>6153</v>
      </c>
      <c r="T70" s="1002" t="s">
        <v>369</v>
      </c>
      <c r="U70" s="973" t="s">
        <v>6154</v>
      </c>
      <c r="V70" s="1002" t="s">
        <v>369</v>
      </c>
      <c r="W70" s="973" t="s">
        <v>6155</v>
      </c>
      <c r="X70" s="1002" t="s">
        <v>369</v>
      </c>
      <c r="Y70" s="973" t="s">
        <v>6156</v>
      </c>
      <c r="Z70" s="1002" t="s">
        <v>369</v>
      </c>
      <c r="AA70" s="973" t="s">
        <v>6157</v>
      </c>
      <c r="AB70" s="1002" t="s">
        <v>369</v>
      </c>
      <c r="AC70" s="973" t="s">
        <v>6158</v>
      </c>
      <c r="AD70" s="1002" t="s">
        <v>369</v>
      </c>
      <c r="AE70" s="964" t="s">
        <v>6159</v>
      </c>
      <c r="AF70" s="1002" t="s">
        <v>369</v>
      </c>
      <c r="AG70" s="964" t="s">
        <v>6160</v>
      </c>
      <c r="AH70" s="1002" t="s">
        <v>369</v>
      </c>
      <c r="AI70" s="964" t="s">
        <v>6161</v>
      </c>
      <c r="AJ70" s="1002" t="s">
        <v>369</v>
      </c>
      <c r="AK70" s="964" t="s">
        <v>6162</v>
      </c>
      <c r="AL70" s="1002" t="s">
        <v>369</v>
      </c>
      <c r="AM70" s="964" t="s">
        <v>6163</v>
      </c>
      <c r="AN70" s="1002" t="s">
        <v>369</v>
      </c>
      <c r="AO70" s="964" t="s">
        <v>6164</v>
      </c>
      <c r="AP70" s="1002" t="s">
        <v>369</v>
      </c>
      <c r="AQ70" s="964" t="s">
        <v>6165</v>
      </c>
      <c r="AR70" s="1002" t="s">
        <v>369</v>
      </c>
      <c r="BI70" s="973" t="s">
        <v>6166</v>
      </c>
      <c r="BJ70" s="1002" t="s">
        <v>369</v>
      </c>
      <c r="BK70" s="964" t="s">
        <v>6167</v>
      </c>
      <c r="BL70" s="1002" t="s">
        <v>369</v>
      </c>
    </row>
    <row r="71" spans="2:64">
      <c r="B71" s="1053" t="s">
        <v>6168</v>
      </c>
      <c r="C71" s="973" t="s">
        <v>6169</v>
      </c>
      <c r="D71" s="1002" t="s">
        <v>369</v>
      </c>
      <c r="E71" s="973" t="s">
        <v>6170</v>
      </c>
      <c r="F71" s="1002" t="s">
        <v>369</v>
      </c>
      <c r="G71" s="973" t="s">
        <v>6171</v>
      </c>
      <c r="H71" s="1002" t="s">
        <v>369</v>
      </c>
      <c r="I71" s="973" t="s">
        <v>6172</v>
      </c>
      <c r="J71" s="1002" t="s">
        <v>369</v>
      </c>
      <c r="K71" s="973" t="s">
        <v>6173</v>
      </c>
      <c r="L71" s="1002" t="s">
        <v>369</v>
      </c>
      <c r="M71" s="973" t="s">
        <v>6174</v>
      </c>
      <c r="N71" s="1002" t="s">
        <v>369</v>
      </c>
      <c r="O71" s="973" t="s">
        <v>6175</v>
      </c>
      <c r="P71" s="1002" t="s">
        <v>369</v>
      </c>
      <c r="Q71" s="973" t="s">
        <v>6176</v>
      </c>
      <c r="R71" s="1002" t="s">
        <v>369</v>
      </c>
      <c r="S71" s="973" t="s">
        <v>6177</v>
      </c>
      <c r="T71" s="1002" t="s">
        <v>369</v>
      </c>
      <c r="U71" s="973" t="s">
        <v>6178</v>
      </c>
      <c r="V71" s="1002" t="s">
        <v>369</v>
      </c>
      <c r="W71" s="973" t="s">
        <v>6179</v>
      </c>
      <c r="X71" s="1002" t="s">
        <v>369</v>
      </c>
      <c r="Y71" s="973" t="s">
        <v>6180</v>
      </c>
      <c r="Z71" s="1002" t="s">
        <v>369</v>
      </c>
      <c r="AA71" s="973" t="s">
        <v>6181</v>
      </c>
      <c r="AB71" s="1002" t="s">
        <v>369</v>
      </c>
      <c r="AC71" s="973" t="s">
        <v>6182</v>
      </c>
      <c r="AD71" s="1002" t="s">
        <v>369</v>
      </c>
      <c r="AE71" s="964" t="s">
        <v>6183</v>
      </c>
      <c r="AF71" s="1002" t="s">
        <v>369</v>
      </c>
      <c r="AG71" s="964" t="s">
        <v>6184</v>
      </c>
      <c r="AH71" s="1002" t="s">
        <v>369</v>
      </c>
      <c r="AI71" s="964" t="s">
        <v>6185</v>
      </c>
      <c r="AJ71" s="1002" t="s">
        <v>369</v>
      </c>
      <c r="AK71" s="964" t="s">
        <v>6186</v>
      </c>
      <c r="AL71" s="1002" t="s">
        <v>369</v>
      </c>
      <c r="AM71" s="964" t="s">
        <v>6187</v>
      </c>
      <c r="AN71" s="1002" t="s">
        <v>369</v>
      </c>
      <c r="AO71" s="964" t="s">
        <v>6188</v>
      </c>
      <c r="AP71" s="1002" t="s">
        <v>369</v>
      </c>
      <c r="AQ71" s="964" t="s">
        <v>6189</v>
      </c>
      <c r="AR71" s="1002" t="s">
        <v>369</v>
      </c>
      <c r="BI71" s="973" t="s">
        <v>6190</v>
      </c>
      <c r="BJ71" s="1002" t="s">
        <v>369</v>
      </c>
      <c r="BK71" s="964" t="s">
        <v>6191</v>
      </c>
      <c r="BL71" s="1002" t="s">
        <v>369</v>
      </c>
    </row>
    <row r="72" spans="2:64">
      <c r="B72" s="974" t="s">
        <v>6192</v>
      </c>
      <c r="C72" s="973" t="s">
        <v>6193</v>
      </c>
      <c r="D72" s="1002" t="s">
        <v>369</v>
      </c>
      <c r="E72" s="973" t="s">
        <v>6194</v>
      </c>
      <c r="F72" s="1002" t="s">
        <v>369</v>
      </c>
      <c r="G72" s="973" t="s">
        <v>6195</v>
      </c>
      <c r="H72" s="1002" t="s">
        <v>369</v>
      </c>
      <c r="I72" s="973" t="s">
        <v>6196</v>
      </c>
      <c r="J72" s="1002" t="s">
        <v>369</v>
      </c>
      <c r="K72" s="973" t="s">
        <v>6197</v>
      </c>
      <c r="L72" s="1002" t="s">
        <v>369</v>
      </c>
      <c r="M72" s="973" t="s">
        <v>6198</v>
      </c>
      <c r="N72" s="1002" t="s">
        <v>369</v>
      </c>
      <c r="O72" s="973" t="s">
        <v>6199</v>
      </c>
      <c r="P72" s="1002" t="s">
        <v>369</v>
      </c>
      <c r="Q72" s="973" t="s">
        <v>6200</v>
      </c>
      <c r="R72" s="1002" t="s">
        <v>369</v>
      </c>
      <c r="S72" s="973" t="s">
        <v>6201</v>
      </c>
      <c r="T72" s="1002" t="s">
        <v>369</v>
      </c>
      <c r="U72" s="973" t="s">
        <v>6202</v>
      </c>
      <c r="V72" s="1002" t="s">
        <v>369</v>
      </c>
      <c r="W72" s="973" t="s">
        <v>6203</v>
      </c>
      <c r="X72" s="1002" t="s">
        <v>369</v>
      </c>
      <c r="Y72" s="973" t="s">
        <v>6204</v>
      </c>
      <c r="Z72" s="1002" t="s">
        <v>369</v>
      </c>
      <c r="AA72" s="973" t="s">
        <v>6205</v>
      </c>
      <c r="AB72" s="1002" t="s">
        <v>369</v>
      </c>
      <c r="AC72" s="973" t="s">
        <v>6206</v>
      </c>
      <c r="AD72" s="1002" t="s">
        <v>369</v>
      </c>
      <c r="AE72" s="964" t="s">
        <v>6207</v>
      </c>
      <c r="AF72" s="1002" t="s">
        <v>369</v>
      </c>
      <c r="AG72" s="964" t="s">
        <v>6208</v>
      </c>
      <c r="AH72" s="1002" t="s">
        <v>369</v>
      </c>
      <c r="AI72" s="964" t="s">
        <v>6209</v>
      </c>
      <c r="AJ72" s="1002" t="s">
        <v>369</v>
      </c>
      <c r="AK72" s="964" t="s">
        <v>6210</v>
      </c>
      <c r="AL72" s="1002" t="s">
        <v>369</v>
      </c>
      <c r="AM72" s="964" t="s">
        <v>6211</v>
      </c>
      <c r="AN72" s="1002" t="s">
        <v>369</v>
      </c>
      <c r="AO72" s="964" t="s">
        <v>6212</v>
      </c>
      <c r="AP72" s="1002" t="s">
        <v>369</v>
      </c>
      <c r="AQ72" s="964" t="s">
        <v>6213</v>
      </c>
      <c r="AR72" s="1002" t="s">
        <v>369</v>
      </c>
      <c r="BI72" s="973" t="s">
        <v>6214</v>
      </c>
      <c r="BJ72" s="1002" t="s">
        <v>369</v>
      </c>
      <c r="BK72" s="964" t="s">
        <v>6215</v>
      </c>
      <c r="BL72" s="1002" t="s">
        <v>369</v>
      </c>
    </row>
    <row r="73" spans="2:64">
      <c r="B73" s="1053" t="s">
        <v>6216</v>
      </c>
      <c r="C73" s="973" t="s">
        <v>6217</v>
      </c>
      <c r="D73" s="1002" t="s">
        <v>369</v>
      </c>
      <c r="E73" s="973" t="s">
        <v>6218</v>
      </c>
      <c r="F73" s="1002" t="s">
        <v>369</v>
      </c>
      <c r="G73" s="973" t="s">
        <v>6219</v>
      </c>
      <c r="H73" s="1002" t="s">
        <v>369</v>
      </c>
      <c r="I73" s="973" t="s">
        <v>6220</v>
      </c>
      <c r="J73" s="1002" t="s">
        <v>369</v>
      </c>
      <c r="K73" s="973" t="s">
        <v>6221</v>
      </c>
      <c r="L73" s="1002" t="s">
        <v>369</v>
      </c>
      <c r="M73" s="973" t="s">
        <v>6222</v>
      </c>
      <c r="N73" s="1002" t="s">
        <v>369</v>
      </c>
      <c r="O73" s="973" t="s">
        <v>6223</v>
      </c>
      <c r="P73" s="1002" t="s">
        <v>369</v>
      </c>
      <c r="Q73" s="973" t="s">
        <v>6224</v>
      </c>
      <c r="R73" s="1002" t="s">
        <v>369</v>
      </c>
      <c r="S73" s="973" t="s">
        <v>6225</v>
      </c>
      <c r="T73" s="1002" t="s">
        <v>369</v>
      </c>
      <c r="U73" s="973" t="s">
        <v>6226</v>
      </c>
      <c r="V73" s="1002" t="s">
        <v>369</v>
      </c>
      <c r="W73" s="973" t="s">
        <v>6227</v>
      </c>
      <c r="X73" s="1002" t="s">
        <v>369</v>
      </c>
      <c r="Y73" s="973" t="s">
        <v>6228</v>
      </c>
      <c r="Z73" s="1002" t="s">
        <v>369</v>
      </c>
      <c r="AA73" s="973" t="s">
        <v>6229</v>
      </c>
      <c r="AB73" s="1002" t="s">
        <v>369</v>
      </c>
      <c r="AC73" s="973" t="s">
        <v>6230</v>
      </c>
      <c r="AD73" s="1002" t="s">
        <v>369</v>
      </c>
      <c r="AE73" s="964" t="s">
        <v>6231</v>
      </c>
      <c r="AF73" s="1002" t="s">
        <v>369</v>
      </c>
      <c r="AG73" s="964" t="s">
        <v>6232</v>
      </c>
      <c r="AH73" s="1002" t="s">
        <v>369</v>
      </c>
      <c r="AI73" s="964" t="s">
        <v>6233</v>
      </c>
      <c r="AJ73" s="1002" t="s">
        <v>369</v>
      </c>
      <c r="AK73" s="964" t="s">
        <v>6234</v>
      </c>
      <c r="AL73" s="1002" t="s">
        <v>369</v>
      </c>
      <c r="AM73" s="964" t="s">
        <v>6235</v>
      </c>
      <c r="AN73" s="1002" t="s">
        <v>369</v>
      </c>
      <c r="AO73" s="964" t="s">
        <v>6236</v>
      </c>
      <c r="AP73" s="1002" t="s">
        <v>369</v>
      </c>
      <c r="AQ73" s="964" t="s">
        <v>6237</v>
      </c>
      <c r="AR73" s="1002" t="s">
        <v>369</v>
      </c>
      <c r="BI73" s="973" t="s">
        <v>6238</v>
      </c>
      <c r="BJ73" s="1002" t="s">
        <v>369</v>
      </c>
      <c r="BK73" s="964" t="s">
        <v>6239</v>
      </c>
      <c r="BL73" s="1002" t="s">
        <v>369</v>
      </c>
    </row>
    <row r="74" spans="2:64" ht="26.25" thickBot="1">
      <c r="B74" s="1051" t="s">
        <v>6240</v>
      </c>
      <c r="C74" s="988" t="s">
        <v>6241</v>
      </c>
      <c r="D74" s="1003" t="s">
        <v>369</v>
      </c>
      <c r="E74" s="988" t="s">
        <v>6242</v>
      </c>
      <c r="F74" s="1003" t="s">
        <v>369</v>
      </c>
      <c r="G74" s="988" t="s">
        <v>6243</v>
      </c>
      <c r="H74" s="1003" t="s">
        <v>369</v>
      </c>
      <c r="I74" s="988" t="s">
        <v>6244</v>
      </c>
      <c r="J74" s="1003" t="s">
        <v>369</v>
      </c>
      <c r="K74" s="988" t="s">
        <v>6245</v>
      </c>
      <c r="L74" s="1003" t="s">
        <v>369</v>
      </c>
      <c r="M74" s="988" t="s">
        <v>6246</v>
      </c>
      <c r="N74" s="1003" t="s">
        <v>369</v>
      </c>
      <c r="O74" s="988" t="s">
        <v>6247</v>
      </c>
      <c r="P74" s="1003" t="s">
        <v>369</v>
      </c>
      <c r="Q74" s="988" t="s">
        <v>6248</v>
      </c>
      <c r="R74" s="1003" t="s">
        <v>369</v>
      </c>
      <c r="S74" s="988" t="s">
        <v>6249</v>
      </c>
      <c r="T74" s="1003" t="s">
        <v>369</v>
      </c>
      <c r="U74" s="988" t="s">
        <v>6250</v>
      </c>
      <c r="V74" s="1003" t="s">
        <v>369</v>
      </c>
      <c r="W74" s="988" t="s">
        <v>6251</v>
      </c>
      <c r="X74" s="1003" t="s">
        <v>369</v>
      </c>
      <c r="Y74" s="988" t="s">
        <v>6252</v>
      </c>
      <c r="Z74" s="1003" t="s">
        <v>369</v>
      </c>
      <c r="AA74" s="988" t="s">
        <v>6253</v>
      </c>
      <c r="AB74" s="1003" t="s">
        <v>369</v>
      </c>
      <c r="AC74" s="988" t="s">
        <v>6254</v>
      </c>
      <c r="AD74" s="1003" t="s">
        <v>369</v>
      </c>
      <c r="AE74" s="979" t="s">
        <v>6255</v>
      </c>
      <c r="AF74" s="1003" t="s">
        <v>369</v>
      </c>
      <c r="AG74" s="979" t="s">
        <v>6256</v>
      </c>
      <c r="AH74" s="1003" t="s">
        <v>369</v>
      </c>
      <c r="AI74" s="979" t="s">
        <v>6257</v>
      </c>
      <c r="AJ74" s="1003" t="s">
        <v>369</v>
      </c>
      <c r="AK74" s="979" t="s">
        <v>6258</v>
      </c>
      <c r="AL74" s="1003" t="s">
        <v>369</v>
      </c>
      <c r="AM74" s="979" t="s">
        <v>6259</v>
      </c>
      <c r="AN74" s="1003" t="s">
        <v>369</v>
      </c>
      <c r="AO74" s="979" t="s">
        <v>6260</v>
      </c>
      <c r="AP74" s="1003" t="s">
        <v>369</v>
      </c>
      <c r="AQ74" s="979" t="s">
        <v>6261</v>
      </c>
      <c r="AR74" s="1003" t="s">
        <v>369</v>
      </c>
      <c r="AS74" s="979"/>
      <c r="AT74" s="1014"/>
      <c r="AU74" s="979"/>
      <c r="AV74" s="1014"/>
      <c r="AW74" s="979"/>
      <c r="AX74" s="1014"/>
      <c r="AY74" s="979"/>
      <c r="AZ74" s="1014"/>
      <c r="BA74" s="979"/>
      <c r="BB74" s="1014"/>
      <c r="BC74" s="979"/>
      <c r="BD74" s="1014"/>
      <c r="BE74" s="979"/>
      <c r="BF74" s="1014"/>
      <c r="BG74" s="979"/>
      <c r="BH74" s="1014"/>
      <c r="BI74" s="988" t="s">
        <v>6262</v>
      </c>
      <c r="BJ74" s="1003" t="s">
        <v>369</v>
      </c>
      <c r="BK74" s="979" t="s">
        <v>6263</v>
      </c>
      <c r="BL74" s="1003" t="s">
        <v>369</v>
      </c>
    </row>
    <row r="75" spans="2:64">
      <c r="B75" s="1049"/>
      <c r="I75" s="1048"/>
      <c r="X75" s="965"/>
    </row>
    <row r="76" spans="2:64">
      <c r="B76" s="1049"/>
      <c r="I76" s="1048"/>
      <c r="X76" s="965"/>
    </row>
  </sheetData>
  <mergeCells count="68">
    <mergeCell ref="BI2:BJ3"/>
    <mergeCell ref="BK2:BL3"/>
    <mergeCell ref="AE3:AF3"/>
    <mergeCell ref="AG3:AH3"/>
    <mergeCell ref="AI3:AJ3"/>
    <mergeCell ref="AK3:AL3"/>
    <mergeCell ref="AM3:AN3"/>
    <mergeCell ref="AS3:AT3"/>
    <mergeCell ref="AU3:AV3"/>
    <mergeCell ref="AE2:AN2"/>
    <mergeCell ref="AS2:BG2"/>
    <mergeCell ref="AY3:AZ3"/>
    <mergeCell ref="BA3:BB3"/>
    <mergeCell ref="BC3:BD3"/>
    <mergeCell ref="BG3:BH3"/>
    <mergeCell ref="BE3:BF3"/>
    <mergeCell ref="AW3:AX3"/>
    <mergeCell ref="Q2:R3"/>
    <mergeCell ref="S2:T3"/>
    <mergeCell ref="U2:V3"/>
    <mergeCell ref="Y2:Z3"/>
    <mergeCell ref="AO2:AP3"/>
    <mergeCell ref="AQ2:AR3"/>
    <mergeCell ref="AA2:AB3"/>
    <mergeCell ref="AC2:AD3"/>
    <mergeCell ref="W2:X3"/>
    <mergeCell ref="M2:N3"/>
    <mergeCell ref="O2:P3"/>
    <mergeCell ref="B2:B3"/>
    <mergeCell ref="C2:D3"/>
    <mergeCell ref="E2:F3"/>
    <mergeCell ref="G2:H3"/>
    <mergeCell ref="I2:J3"/>
    <mergeCell ref="K2:L3"/>
    <mergeCell ref="B40:B41"/>
    <mergeCell ref="C40:D41"/>
    <mergeCell ref="E40:F41"/>
    <mergeCell ref="G40:H41"/>
    <mergeCell ref="I40:J41"/>
    <mergeCell ref="K40:L41"/>
    <mergeCell ref="M40:N41"/>
    <mergeCell ref="O40:P41"/>
    <mergeCell ref="Q40:R41"/>
    <mergeCell ref="S40:T41"/>
    <mergeCell ref="U40:V41"/>
    <mergeCell ref="W40:X41"/>
    <mergeCell ref="Y40:Z41"/>
    <mergeCell ref="AA40:AB41"/>
    <mergeCell ref="AC40:AD41"/>
    <mergeCell ref="AE40:AN40"/>
    <mergeCell ref="AO40:AP41"/>
    <mergeCell ref="AQ40:AR41"/>
    <mergeCell ref="AS40:BG40"/>
    <mergeCell ref="BI40:BJ41"/>
    <mergeCell ref="BK40:BL41"/>
    <mergeCell ref="AE41:AF41"/>
    <mergeCell ref="AG41:AH41"/>
    <mergeCell ref="AI41:AJ41"/>
    <mergeCell ref="AK41:AL41"/>
    <mergeCell ref="AM41:AN41"/>
    <mergeCell ref="AS41:AT41"/>
    <mergeCell ref="AU41:AV41"/>
    <mergeCell ref="AW41:AX41"/>
    <mergeCell ref="AY41:AZ41"/>
    <mergeCell ref="BA41:BB41"/>
    <mergeCell ref="BC41:BD41"/>
    <mergeCell ref="BE41:BF41"/>
    <mergeCell ref="BG41:BH41"/>
  </mergeCells>
  <pageMargins left="0.7" right="0.7" top="0.75" bottom="0.75" header="0.3" footer="0.3"/>
  <pageSetup paperSize="9" orientation="portrait" horizontalDpi="180" verticalDpi="18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V99"/>
  <sheetViews>
    <sheetView zoomScale="70" zoomScaleNormal="70" workbookViewId="0">
      <selection activeCell="A2" sqref="A2:P2"/>
    </sheetView>
  </sheetViews>
  <sheetFormatPr defaultRowHeight="12.75"/>
  <cols>
    <col min="1" max="1" width="38" style="46" customWidth="1"/>
    <col min="2" max="2" width="15.85546875" style="46" customWidth="1"/>
    <col min="3" max="3" width="9.42578125" style="46" customWidth="1"/>
    <col min="4" max="4" width="13.5703125" style="46" customWidth="1"/>
    <col min="5" max="5" width="9.85546875" style="46" customWidth="1"/>
    <col min="6" max="6" width="11.7109375" style="46" customWidth="1"/>
    <col min="7" max="7" width="12.85546875" style="46" customWidth="1"/>
    <col min="8" max="8" width="10.7109375" style="46" customWidth="1"/>
    <col min="9" max="9" width="8.7109375" style="46" customWidth="1"/>
    <col min="10" max="10" width="10.85546875" style="46" customWidth="1"/>
    <col min="11" max="11" width="13.42578125" style="46" customWidth="1"/>
    <col min="12" max="14" width="11.140625" style="46" customWidth="1"/>
    <col min="15" max="15" width="9.7109375" style="46" customWidth="1"/>
    <col min="16" max="16" width="10.140625" style="46" customWidth="1"/>
    <col min="17" max="17" width="8.85546875" style="46" customWidth="1"/>
    <col min="18" max="18" width="9" style="46" customWidth="1"/>
    <col min="19" max="19" width="9.28515625" style="46" customWidth="1"/>
    <col min="20" max="20" width="10.5703125" style="46" customWidth="1"/>
    <col min="21" max="21" width="10.140625" style="46" customWidth="1"/>
    <col min="22" max="22" width="9.7109375" style="46" customWidth="1"/>
    <col min="23" max="16384" width="9.140625" style="46"/>
  </cols>
  <sheetData>
    <row r="1" spans="1:22">
      <c r="A1" s="1666" t="s">
        <v>312</v>
      </c>
      <c r="B1" s="1666"/>
      <c r="C1" s="1666"/>
      <c r="D1" s="1666"/>
    </row>
    <row r="2" spans="1:22" ht="20.25" customHeight="1" thickBot="1">
      <c r="A2" s="1482" t="s">
        <v>73</v>
      </c>
      <c r="B2" s="1482"/>
      <c r="C2" s="1482"/>
      <c r="D2" s="1482"/>
      <c r="E2" s="1482"/>
      <c r="F2" s="1482"/>
      <c r="G2" s="1482"/>
      <c r="H2" s="1482"/>
      <c r="I2" s="1482"/>
      <c r="J2" s="1482"/>
      <c r="K2" s="1482"/>
      <c r="L2" s="1482"/>
      <c r="M2" s="1482"/>
      <c r="N2" s="1482"/>
      <c r="O2" s="1482"/>
      <c r="P2" s="1482"/>
      <c r="Q2" s="738"/>
      <c r="R2" s="738"/>
      <c r="S2" s="738"/>
      <c r="T2" s="734" t="s">
        <v>313</v>
      </c>
      <c r="U2" s="1483">
        <v>43299</v>
      </c>
      <c r="V2" s="1678"/>
    </row>
    <row r="3" spans="1:22">
      <c r="A3" s="52"/>
      <c r="B3" s="52"/>
      <c r="Q3" s="56"/>
      <c r="R3" s="56"/>
      <c r="T3" s="8" t="s">
        <v>315</v>
      </c>
      <c r="U3" s="1679">
        <v>43299</v>
      </c>
      <c r="V3" s="1679"/>
    </row>
    <row r="4" spans="1:22" ht="13.5" customHeight="1">
      <c r="A4" s="1459" t="s">
        <v>316</v>
      </c>
      <c r="B4" s="1293" t="s">
        <v>525</v>
      </c>
      <c r="C4" s="1657" t="s">
        <v>526</v>
      </c>
      <c r="D4" s="1680"/>
      <c r="E4" s="1452" t="s">
        <v>527</v>
      </c>
      <c r="F4" s="1477"/>
      <c r="G4" s="1477"/>
      <c r="H4" s="1477"/>
      <c r="I4" s="1477"/>
      <c r="J4" s="1477"/>
      <c r="K4" s="1477"/>
      <c r="L4" s="1477"/>
      <c r="M4" s="1477"/>
      <c r="N4" s="1477"/>
      <c r="O4" s="1477"/>
      <c r="P4" s="1477"/>
      <c r="Q4" s="1477"/>
      <c r="R4" s="1477"/>
      <c r="S4" s="1477"/>
      <c r="T4" s="1477"/>
      <c r="U4" s="1477"/>
      <c r="V4" s="1478"/>
    </row>
    <row r="5" spans="1:22" ht="15" customHeight="1">
      <c r="A5" s="1460"/>
      <c r="B5" s="1293"/>
      <c r="C5" s="1658"/>
      <c r="D5" s="1681"/>
      <c r="E5" s="1462" t="s">
        <v>320</v>
      </c>
      <c r="F5" s="1464"/>
      <c r="G5" s="1479" t="s">
        <v>321</v>
      </c>
      <c r="H5" s="1517"/>
      <c r="I5" s="1517"/>
      <c r="J5" s="1517"/>
      <c r="K5" s="1659" t="s">
        <v>5382</v>
      </c>
      <c r="L5" s="1659" t="s">
        <v>625</v>
      </c>
      <c r="M5" s="1659" t="s">
        <v>620</v>
      </c>
      <c r="N5" s="1659" t="s">
        <v>5380</v>
      </c>
      <c r="O5" s="1479" t="s">
        <v>324</v>
      </c>
      <c r="P5" s="1480"/>
      <c r="Q5" s="1580" t="s">
        <v>325</v>
      </c>
      <c r="R5" s="1580"/>
      <c r="S5" s="1580"/>
      <c r="T5" s="1580"/>
      <c r="U5" s="1580"/>
      <c r="V5" s="1580"/>
    </row>
    <row r="6" spans="1:22" ht="25.5">
      <c r="A6" s="1460"/>
      <c r="B6" s="1459"/>
      <c r="C6" s="1682"/>
      <c r="D6" s="1683"/>
      <c r="E6" s="58" t="s">
        <v>6571</v>
      </c>
      <c r="F6" s="58" t="s">
        <v>329</v>
      </c>
      <c r="G6" s="60" t="s">
        <v>330</v>
      </c>
      <c r="H6" s="62" t="s">
        <v>331</v>
      </c>
      <c r="I6" s="62" t="s">
        <v>332</v>
      </c>
      <c r="J6" s="173" t="s">
        <v>333</v>
      </c>
      <c r="K6" s="1660"/>
      <c r="L6" s="1660"/>
      <c r="M6" s="1660"/>
      <c r="N6" s="1660"/>
      <c r="O6" s="173" t="s">
        <v>334</v>
      </c>
      <c r="P6" s="62" t="s">
        <v>335</v>
      </c>
      <c r="Q6" s="1450" t="s">
        <v>289</v>
      </c>
      <c r="R6" s="1450"/>
      <c r="S6" s="1450"/>
      <c r="T6" s="1450"/>
      <c r="U6" s="1450"/>
      <c r="V6" s="1450"/>
    </row>
    <row r="7" spans="1:22" ht="15" customHeight="1">
      <c r="A7" s="1524" t="s">
        <v>340</v>
      </c>
      <c r="B7" s="1525"/>
      <c r="C7" s="1525"/>
      <c r="D7" s="1526"/>
      <c r="E7" s="193" t="s">
        <v>341</v>
      </c>
      <c r="F7" s="193" t="s">
        <v>6846</v>
      </c>
      <c r="G7" s="57" t="s">
        <v>342</v>
      </c>
      <c r="H7" s="57" t="s">
        <v>342</v>
      </c>
      <c r="I7" s="57" t="s">
        <v>342</v>
      </c>
      <c r="J7" s="57" t="s">
        <v>342</v>
      </c>
      <c r="K7" s="193" t="s">
        <v>343</v>
      </c>
      <c r="L7" s="193" t="s">
        <v>341</v>
      </c>
      <c r="M7" s="193" t="s">
        <v>341</v>
      </c>
      <c r="N7" s="193" t="s">
        <v>5377</v>
      </c>
      <c r="O7" s="99" t="s">
        <v>345</v>
      </c>
      <c r="P7" s="99" t="s">
        <v>345</v>
      </c>
      <c r="Q7" s="1684" t="s">
        <v>344</v>
      </c>
      <c r="R7" s="1684"/>
      <c r="S7" s="1684"/>
      <c r="T7" s="1684"/>
      <c r="U7" s="1684"/>
      <c r="V7" s="1684"/>
    </row>
    <row r="8" spans="1:22" ht="12.75" customHeight="1">
      <c r="A8" s="1518" t="s">
        <v>529</v>
      </c>
      <c r="B8" s="1519"/>
      <c r="C8" s="1519"/>
      <c r="D8" s="1520"/>
      <c r="E8" s="522" t="s">
        <v>530</v>
      </c>
      <c r="F8" s="522" t="s">
        <v>350</v>
      </c>
      <c r="G8" s="817" t="s">
        <v>531</v>
      </c>
      <c r="H8" s="817" t="s">
        <v>532</v>
      </c>
      <c r="I8" s="817" t="s">
        <v>533</v>
      </c>
      <c r="J8" s="817" t="s">
        <v>532</v>
      </c>
      <c r="K8" s="156" t="s">
        <v>354</v>
      </c>
      <c r="L8" s="156" t="s">
        <v>355</v>
      </c>
      <c r="M8" s="156" t="s">
        <v>356</v>
      </c>
      <c r="N8" s="156" t="s">
        <v>5378</v>
      </c>
      <c r="O8" s="72" t="s">
        <v>536</v>
      </c>
      <c r="P8" s="72" t="s">
        <v>532</v>
      </c>
      <c r="Q8" s="156">
        <v>0.8</v>
      </c>
      <c r="R8" s="156">
        <v>0.7</v>
      </c>
      <c r="S8" s="156" t="s">
        <v>3716</v>
      </c>
      <c r="T8" s="1475">
        <v>0.45</v>
      </c>
      <c r="U8" s="1475"/>
      <c r="V8" s="156">
        <v>0.4</v>
      </c>
    </row>
    <row r="9" spans="1:22" ht="12.75" customHeight="1">
      <c r="A9" s="818" t="s">
        <v>537</v>
      </c>
      <c r="B9" s="819"/>
      <c r="C9" s="819"/>
      <c r="D9" s="820"/>
      <c r="E9" s="1685" t="s">
        <v>359</v>
      </c>
      <c r="F9" s="1685" t="s">
        <v>359</v>
      </c>
      <c r="G9" s="1460" t="s">
        <v>4086</v>
      </c>
      <c r="H9" s="1460" t="s">
        <v>360</v>
      </c>
      <c r="I9" s="1460" t="s">
        <v>4087</v>
      </c>
      <c r="J9" s="1460" t="s">
        <v>4087</v>
      </c>
      <c r="K9" s="1475" t="s">
        <v>360</v>
      </c>
      <c r="L9" s="1475" t="s">
        <v>4087</v>
      </c>
      <c r="M9" s="1475" t="s">
        <v>4087</v>
      </c>
      <c r="N9" s="1475" t="s">
        <v>4087</v>
      </c>
      <c r="O9" s="1444" t="s">
        <v>359</v>
      </c>
      <c r="P9" s="1444" t="s">
        <v>359</v>
      </c>
      <c r="Q9" s="1475" t="s">
        <v>361</v>
      </c>
      <c r="R9" s="1475" t="s">
        <v>361</v>
      </c>
      <c r="S9" s="1475" t="s">
        <v>361</v>
      </c>
      <c r="T9" s="1475" t="s">
        <v>361</v>
      </c>
      <c r="U9" s="1475"/>
      <c r="V9" s="1475" t="s">
        <v>362</v>
      </c>
    </row>
    <row r="10" spans="1:22" ht="26.25" customHeight="1">
      <c r="A10" s="1521"/>
      <c r="B10" s="1522"/>
      <c r="C10" s="1522"/>
      <c r="D10" s="1523"/>
      <c r="E10" s="1686"/>
      <c r="F10" s="1686"/>
      <c r="G10" s="1461"/>
      <c r="H10" s="1461"/>
      <c r="I10" s="1461"/>
      <c r="J10" s="1461"/>
      <c r="K10" s="1476"/>
      <c r="L10" s="1476"/>
      <c r="M10" s="1476"/>
      <c r="N10" s="1476"/>
      <c r="O10" s="1445"/>
      <c r="P10" s="1445"/>
      <c r="Q10" s="1476"/>
      <c r="R10" s="1476"/>
      <c r="S10" s="1476"/>
      <c r="T10" s="731" t="s">
        <v>753</v>
      </c>
      <c r="U10" s="866" t="s">
        <v>4223</v>
      </c>
      <c r="V10" s="1476"/>
    </row>
    <row r="11" spans="1:22" ht="15">
      <c r="A11" s="796" t="s">
        <v>518</v>
      </c>
      <c r="B11" s="799"/>
      <c r="C11" s="799"/>
      <c r="D11" s="799"/>
      <c r="E11" s="799"/>
      <c r="F11" s="799"/>
      <c r="G11" s="799"/>
      <c r="H11" s="799"/>
      <c r="I11" s="799"/>
      <c r="J11" s="799"/>
      <c r="K11" s="799"/>
      <c r="L11" s="799"/>
      <c r="M11" s="799"/>
      <c r="N11" s="799"/>
      <c r="O11" s="799"/>
      <c r="P11" s="799"/>
      <c r="Q11" s="799"/>
      <c r="R11" s="799"/>
      <c r="S11" s="799"/>
      <c r="T11" s="799"/>
      <c r="U11" s="799"/>
      <c r="V11" s="800"/>
    </row>
    <row r="12" spans="1:22" ht="15">
      <c r="A12" s="157" t="s">
        <v>3707</v>
      </c>
      <c r="B12" s="158" t="s">
        <v>549</v>
      </c>
      <c r="C12" s="1687" t="s">
        <v>381</v>
      </c>
      <c r="D12" s="1430"/>
      <c r="E12" s="87">
        <f>ROUND(Falz2_Pt*Belarus*(1-E77),2)</f>
        <v>585</v>
      </c>
      <c r="F12" s="87">
        <f>ROUND(Falz2_Sf*Belarus*(1-E77),2)</f>
        <v>626</v>
      </c>
      <c r="G12" s="721">
        <f>ROUND(Falz2_Q*Belarus*(1-G77),2)</f>
        <v>656</v>
      </c>
      <c r="H12" s="90">
        <f>ROUND(Falz2_Ql*Belarus*(1-G77),2)</f>
        <v>564</v>
      </c>
      <c r="I12" s="90">
        <f>ROUND(Falz2_Vel*Belarus*(1-G77),2)</f>
        <v>553</v>
      </c>
      <c r="J12" s="90">
        <f>ROUND(Falz2_Atl*Belarus*(1-G77),2)</f>
        <v>533</v>
      </c>
      <c r="K12" s="163">
        <f>ROUND(Falz2_Pur*Belarus*(1-K77),2)</f>
        <v>733</v>
      </c>
      <c r="L12" s="163">
        <f>ROUND(Falz2_Pdx*Belarus*(1-L77),2)</f>
        <v>505</v>
      </c>
      <c r="M12" s="163">
        <f>ROUND(Falz2_Pdxmatt*Belarus*(1-M77),2)</f>
        <v>515</v>
      </c>
      <c r="N12" s="163">
        <f>ROUND(Falz2_StBarhat*Belarus*(1-N77),2)</f>
        <v>482</v>
      </c>
      <c r="O12" s="162">
        <f>ROUND(Falz2_Dr*Belarus*(1-O77),2)</f>
        <v>420</v>
      </c>
      <c r="P12" s="162">
        <f>ROUND(Falz2_Sat*Belarus*(1-P77),2)</f>
        <v>409</v>
      </c>
      <c r="Q12" s="114" t="s">
        <v>369</v>
      </c>
      <c r="R12" s="114">
        <f>ROUND(Falz2_Pe07*Belarus*(1-R77),2)</f>
        <v>541</v>
      </c>
      <c r="S12" s="114">
        <f>ROUND(Falz2_Pe065*Belarus*(1-S77),2)</f>
        <v>523</v>
      </c>
      <c r="T12" s="114">
        <f>ROUND(Falz2_Pe045*Belarus*(1-T77),2)</f>
        <v>377</v>
      </c>
      <c r="U12" s="114">
        <f>ROUND((Falz2_Pe045+18)*Belarus*(1-T77),2)</f>
        <v>395</v>
      </c>
      <c r="V12" s="87" t="s">
        <v>369</v>
      </c>
    </row>
    <row r="13" spans="1:22" ht="15">
      <c r="A13" s="157" t="s">
        <v>3708</v>
      </c>
      <c r="B13" s="158" t="s">
        <v>550</v>
      </c>
      <c r="C13" s="1687" t="s">
        <v>381</v>
      </c>
      <c r="D13" s="1430"/>
      <c r="E13" s="87">
        <f>ROUND(Klik_Pt*Belarus*(1-E77),2)</f>
        <v>675</v>
      </c>
      <c r="F13" s="87">
        <f>ROUND(Klik_Sf*Belarus*(1-E77),2)</f>
        <v>722</v>
      </c>
      <c r="G13" s="721">
        <f>ROUND(Klik_Q*Belarus*(1-G77),2)</f>
        <v>756</v>
      </c>
      <c r="H13" s="90">
        <f>ROUND(Klik_Ql*Belarus*(1-G77),2)</f>
        <v>650</v>
      </c>
      <c r="I13" s="90">
        <f>ROUND(Klik_Vel*Belarus*(1-G77),2)</f>
        <v>638</v>
      </c>
      <c r="J13" s="90">
        <f>ROUND(Klik_Atl*Belarus*(1-G77),2)</f>
        <v>615</v>
      </c>
      <c r="K13" s="163" t="s">
        <v>369</v>
      </c>
      <c r="L13" s="163">
        <f>ROUND(Klik_Pdx*Belarus*(1-L77),2)</f>
        <v>582</v>
      </c>
      <c r="M13" s="163">
        <f>ROUND(Klik_Pdxmatt*Belarus*(1-M77),2)</f>
        <v>592</v>
      </c>
      <c r="N13" s="163">
        <f>ROUND(Klik_StBarhat*Belarus*(1-N77),2)</f>
        <v>556</v>
      </c>
      <c r="O13" s="162">
        <f>ROUND(Klik_Dr*Belarus*(1-O77),2)</f>
        <v>484</v>
      </c>
      <c r="P13" s="162">
        <f>ROUND(Klik_Sat*Belarus*(1-P77),2)</f>
        <v>472</v>
      </c>
      <c r="Q13" s="114" t="s">
        <v>369</v>
      </c>
      <c r="R13" s="114">
        <f>ROUND(Klik_Pe07*Belarus*(1-R77),2)</f>
        <v>623</v>
      </c>
      <c r="S13" s="114">
        <f>ROUND(Klik_Pe065*Belarus*(1-S77),2)</f>
        <v>603</v>
      </c>
      <c r="T13" s="114">
        <f>ROUND(Klik_Pe045*Belarus*(1-T77),2)</f>
        <v>435</v>
      </c>
      <c r="U13" s="114">
        <f>ROUND((Klik_Pe045+18)*Belarus*(1-T77),2)</f>
        <v>453</v>
      </c>
      <c r="V13" s="87" t="s">
        <v>369</v>
      </c>
    </row>
    <row r="14" spans="1:22" ht="25.5">
      <c r="A14" s="157" t="s">
        <v>6646</v>
      </c>
      <c r="B14" s="792" t="s">
        <v>551</v>
      </c>
      <c r="C14" s="1687" t="s">
        <v>381</v>
      </c>
      <c r="D14" s="1430" t="s">
        <v>369</v>
      </c>
      <c r="E14" s="87">
        <f>ROUND(Klik_mini_Pt*Belarus*(1-E77),2)</f>
        <v>730</v>
      </c>
      <c r="F14" s="87">
        <f>ROUND(Klik_mini_Sf*Belarus*(1-E77),2)</f>
        <v>782</v>
      </c>
      <c r="G14" s="721">
        <f>ROUND(Klik_mini_Q*Belarus*(1-G77),2)</f>
        <v>819</v>
      </c>
      <c r="H14" s="90">
        <f>ROUND(Klik_mini_Ql*Belarus*(1-G77),2)</f>
        <v>704</v>
      </c>
      <c r="I14" s="90">
        <f>ROUND(Klik_mini_Vel*Belarus*(1-G77),2)</f>
        <v>691</v>
      </c>
      <c r="J14" s="90">
        <f>ROUND(Klik_mini_Atl*Belarus*(1-G77),2)</f>
        <v>667</v>
      </c>
      <c r="K14" s="163" t="s">
        <v>369</v>
      </c>
      <c r="L14" s="163">
        <f>ROUND(Klik_mini_Pdx*Belarus*(1-L77),2)</f>
        <v>631</v>
      </c>
      <c r="M14" s="163">
        <f>ROUND(Klik_mini_Pdxmatt*Belarus*(1-M77),2)</f>
        <v>641</v>
      </c>
      <c r="N14" s="163">
        <f>ROUND(Klik_mini_StBarhat*Belarus*(1-N77),2)</f>
        <v>603</v>
      </c>
      <c r="O14" s="162">
        <f>ROUND(Klik_mini_Dr*Belarus*(1-O77),2)</f>
        <v>524</v>
      </c>
      <c r="P14" s="162">
        <f>ROUND(Klik_mini_Sat*Belarus*(1-P77),2)</f>
        <v>511</v>
      </c>
      <c r="Q14" s="114" t="s">
        <v>369</v>
      </c>
      <c r="R14" s="114">
        <f>ROUND(Klik_mini_Pe07*Belarus*(1-R77),2)</f>
        <v>675</v>
      </c>
      <c r="S14" s="114">
        <f>ROUND(Klik_mini_Pe065*Belarus*(1-S77),2)</f>
        <v>654</v>
      </c>
      <c r="T14" s="114">
        <f>ROUND(Klik_mini_Pe045*Belarus*(1-T77),2)</f>
        <v>471</v>
      </c>
      <c r="U14" s="114">
        <f>ROUND((Klik_mini_Pe045+18)*Belarus*(1-T77),2)</f>
        <v>489</v>
      </c>
      <c r="V14" s="87" t="s">
        <v>369</v>
      </c>
    </row>
    <row r="15" spans="1:22">
      <c r="A15" s="796" t="s">
        <v>754</v>
      </c>
      <c r="B15" s="797"/>
      <c r="C15" s="797"/>
      <c r="D15" s="797"/>
      <c r="E15" s="797"/>
      <c r="F15" s="797"/>
      <c r="G15" s="797"/>
      <c r="H15" s="797"/>
      <c r="I15" s="797"/>
      <c r="J15" s="797"/>
      <c r="K15" s="797"/>
      <c r="L15" s="797"/>
      <c r="M15" s="797"/>
      <c r="N15" s="797"/>
      <c r="O15" s="797"/>
      <c r="P15" s="797"/>
      <c r="Q15" s="797"/>
      <c r="R15" s="797"/>
      <c r="S15" s="797"/>
      <c r="T15" s="797"/>
      <c r="U15" s="797"/>
      <c r="V15" s="798"/>
    </row>
    <row r="16" spans="1:22">
      <c r="A16" s="161" t="s">
        <v>398</v>
      </c>
      <c r="B16" s="90" t="s">
        <v>556</v>
      </c>
      <c r="C16" s="1687" t="s">
        <v>400</v>
      </c>
      <c r="D16" s="1688"/>
      <c r="E16" s="87">
        <f>ROUND(ShtripsFalz_Pt*Belarus*(1-E77),2)</f>
        <v>580</v>
      </c>
      <c r="F16" s="87">
        <f>ROUND(ShtripsFalz_Sf*Belarus*(1-E77),2)</f>
        <v>607</v>
      </c>
      <c r="G16" s="721">
        <f>ROUND(ShtripsFalz_Q*Belarus*(1-G77),2)</f>
        <v>650</v>
      </c>
      <c r="H16" s="90">
        <f>ROUND(ShtripsFalz_Ql*Belarus*(1-G77),2)</f>
        <v>542</v>
      </c>
      <c r="I16" s="90">
        <f>ROUND(ShtripsFalz_Vel*Belarus*(1-G77),2)</f>
        <v>546</v>
      </c>
      <c r="J16" s="90">
        <f>ROUND(ShtripsFalz_Atl*Belarus*(1-G77),2)</f>
        <v>510</v>
      </c>
      <c r="K16" s="87">
        <f>ROUND(ShtripsFalz_Pur*Belarus*(1-K77),2)</f>
        <v>765</v>
      </c>
      <c r="L16" s="87">
        <f>ROUND(ShtripsFalz_Pdx*Belarus*(1-L77),2)</f>
        <v>481</v>
      </c>
      <c r="M16" s="87">
        <f>ROUND(ShtripsFalz_Pdxmatt*Belarus*(1-M77),2)</f>
        <v>491</v>
      </c>
      <c r="N16" s="87">
        <f>ROUND(ShtripsFalz_StBarhat*Belarus*(1-N78),2)</f>
        <v>457</v>
      </c>
      <c r="O16" s="90">
        <f>ROUND(ShtripsFalz_Dr*Belarus*(1-O78),2)</f>
        <v>392</v>
      </c>
      <c r="P16" s="90">
        <f>ROUND(ShtripsFalz_Sat*Belarus*(1-P78),2)</f>
        <v>381</v>
      </c>
      <c r="Q16" s="114">
        <f>ROUND(ShtripsFalz_Pe08*Belarus*(1-Q78),2)</f>
        <v>573</v>
      </c>
      <c r="R16" s="114">
        <f>ROUND(ShtripsFalz_Pe07*Belarus*(1-R78),2)</f>
        <v>508</v>
      </c>
      <c r="S16" s="114">
        <f>ROUND(ShtripsFalz_Pe065*Belarus*(1-S78),2)</f>
        <v>481</v>
      </c>
      <c r="T16" s="114">
        <f>ROUND(ShtripsFalz_Pe045*Belarus*(1-T78),2)</f>
        <v>338</v>
      </c>
      <c r="U16" s="87">
        <f>ROUND((ShtripsFalz_Pe045+18)*Belarus*(1-T78),2)</f>
        <v>356</v>
      </c>
      <c r="V16" s="87">
        <f>ROUND(ShtripsFalz_Pe04*Belarus*(1-V78),2)</f>
        <v>310</v>
      </c>
    </row>
    <row r="17" spans="1:22">
      <c r="A17" s="161" t="s">
        <v>3724</v>
      </c>
      <c r="B17" s="90" t="s">
        <v>755</v>
      </c>
      <c r="C17" s="1689" t="s">
        <v>3717</v>
      </c>
      <c r="D17" s="1690"/>
      <c r="E17" s="87">
        <f>ROUND(List_Pt*Belarus*(1-E77),2)</f>
        <v>575</v>
      </c>
      <c r="F17" s="87">
        <f>ROUND(List_Sf*Belarus*(1-E77),2)</f>
        <v>602</v>
      </c>
      <c r="G17" s="721">
        <f>ROUND(List_Q*Belarus*(1-G77),2)</f>
        <v>645</v>
      </c>
      <c r="H17" s="90">
        <f>ROUND(List_Ql*Belarus*(1-G77),2)</f>
        <v>537</v>
      </c>
      <c r="I17" s="90" t="str">
        <f>ROUND(List_Vel*Belarus*(1-G77),2)&amp;" (2)"</f>
        <v>526 (2)</v>
      </c>
      <c r="J17" s="90">
        <f>ROUND(List_Atl*Belarus*(1-G77),2)</f>
        <v>505</v>
      </c>
      <c r="K17" s="87">
        <f>ROUND(List_Pur*Belarus*(1-K77),2)</f>
        <v>760</v>
      </c>
      <c r="L17" s="87">
        <f>ROUND(List_Pdx*Belarus*(1-L77),2)</f>
        <v>476</v>
      </c>
      <c r="M17" s="87">
        <f>ROUND(List_Pdxmatt*Belarus*(1-M77),2)</f>
        <v>486</v>
      </c>
      <c r="N17" s="87">
        <f>ROUND(List_StBarhat*Belarus*(1-N78),2)</f>
        <v>452</v>
      </c>
      <c r="O17" s="90">
        <f>ROUND(List_Dr*Belarus*(1-O78),2)</f>
        <v>397</v>
      </c>
      <c r="P17" s="90">
        <f>ROUND(List_Sat*Belarus*(1-P78),2)</f>
        <v>376</v>
      </c>
      <c r="Q17" s="114">
        <f>ROUND(List_Pe08*Belarus*(1-Q78),2)</f>
        <v>573</v>
      </c>
      <c r="R17" s="114">
        <f>ROUND(List_Pe07*Belarus*(1-R78),2)</f>
        <v>508</v>
      </c>
      <c r="S17" s="114">
        <f>ROUND(List_Pe065*Belarus*(1-S78),2)</f>
        <v>481</v>
      </c>
      <c r="T17" s="114">
        <f>ROUND(List_Pe045*Belarus*(1-T78),2)</f>
        <v>338</v>
      </c>
      <c r="U17" s="87">
        <f>ROUND((List_Pe045+18)*Belarus*(1-T78),2)</f>
        <v>356</v>
      </c>
      <c r="V17" s="87">
        <f>ROUND(List_Pe04*Belarus*(1-V78),2)</f>
        <v>310</v>
      </c>
    </row>
    <row r="18" spans="1:22">
      <c r="A18" s="1452" t="s">
        <v>756</v>
      </c>
      <c r="B18" s="1691"/>
      <c r="C18" s="1691"/>
      <c r="D18" s="1691"/>
      <c r="E18" s="1691"/>
      <c r="F18" s="1691"/>
      <c r="G18" s="1691"/>
      <c r="H18" s="1691"/>
      <c r="I18" s="1691"/>
      <c r="J18" s="1691"/>
      <c r="K18" s="1691"/>
      <c r="L18" s="1691"/>
      <c r="M18" s="1691"/>
      <c r="N18" s="1691"/>
      <c r="O18" s="1691"/>
      <c r="P18" s="1691"/>
      <c r="Q18" s="1691"/>
      <c r="R18" s="1691"/>
      <c r="S18" s="1691"/>
      <c r="T18" s="1691"/>
      <c r="U18" s="1691"/>
      <c r="V18" s="1692"/>
    </row>
    <row r="19" spans="1:22" ht="25.5">
      <c r="A19" s="1693" t="s">
        <v>307</v>
      </c>
      <c r="B19" s="1694"/>
      <c r="C19" s="232" t="s">
        <v>757</v>
      </c>
      <c r="D19" s="231" t="s">
        <v>623</v>
      </c>
      <c r="E19" s="1378" t="s">
        <v>758</v>
      </c>
      <c r="F19" s="1379"/>
      <c r="G19" s="1379"/>
      <c r="H19" s="1379"/>
      <c r="I19" s="1379"/>
      <c r="J19" s="1379"/>
      <c r="K19" s="1379"/>
      <c r="L19" s="1379"/>
      <c r="M19" s="1379"/>
      <c r="N19" s="1379"/>
      <c r="O19" s="1379"/>
      <c r="P19" s="1379"/>
      <c r="Q19" s="1379"/>
      <c r="R19" s="1379"/>
      <c r="S19" s="1379"/>
      <c r="T19" s="1379"/>
      <c r="U19" s="1379"/>
      <c r="V19" s="1380"/>
    </row>
    <row r="20" spans="1:22" ht="12.75" customHeight="1">
      <c r="A20" s="1409" t="s">
        <v>3725</v>
      </c>
      <c r="B20" s="1411"/>
      <c r="C20" s="93" t="s">
        <v>759</v>
      </c>
      <c r="D20" s="93">
        <v>145</v>
      </c>
      <c r="E20" s="219" t="s">
        <v>369</v>
      </c>
      <c r="F20" s="219" t="s">
        <v>369</v>
      </c>
      <c r="G20" s="220" t="s">
        <v>369</v>
      </c>
      <c r="H20" s="221" t="s">
        <v>369</v>
      </c>
      <c r="I20" s="221" t="s">
        <v>369</v>
      </c>
      <c r="J20" s="221" t="s">
        <v>369</v>
      </c>
      <c r="K20" s="87" t="s">
        <v>369</v>
      </c>
      <c r="L20" s="219" t="s">
        <v>369</v>
      </c>
      <c r="M20" s="233" t="s">
        <v>369</v>
      </c>
      <c r="N20" s="233" t="s">
        <v>369</v>
      </c>
      <c r="O20" s="721" t="s">
        <v>369</v>
      </c>
      <c r="P20" s="90">
        <f>ROUND(161*Belarus*(1-E79),2)</f>
        <v>161</v>
      </c>
      <c r="Q20" s="87" t="s">
        <v>369</v>
      </c>
      <c r="R20" s="1514" t="s">
        <v>369</v>
      </c>
      <c r="S20" s="1516"/>
      <c r="T20" s="1514">
        <f t="shared" ref="T20:T25" si="0">P20</f>
        <v>161</v>
      </c>
      <c r="U20" s="1515"/>
      <c r="V20" s="1516"/>
    </row>
    <row r="21" spans="1:22" ht="12.75" customHeight="1">
      <c r="A21" s="1409" t="s">
        <v>760</v>
      </c>
      <c r="B21" s="1411"/>
      <c r="C21" s="93" t="s">
        <v>761</v>
      </c>
      <c r="D21" s="93">
        <v>312</v>
      </c>
      <c r="E21" s="87">
        <f>ROUND(409*Belarus*(1-E79),2)</f>
        <v>409</v>
      </c>
      <c r="F21" s="87">
        <f>ROUND(428*Belarus*(1-E79),2)</f>
        <v>428</v>
      </c>
      <c r="G21" s="90">
        <f>ROUND(460*Belarus*(1-E79),2)</f>
        <v>460</v>
      </c>
      <c r="H21" s="90">
        <f>ROUND(382*Belarus*(1-E79),2)</f>
        <v>382</v>
      </c>
      <c r="I21" s="90">
        <f>ROUND(365*Belarus*(1-E79),2)</f>
        <v>365</v>
      </c>
      <c r="J21" s="90">
        <f>ROUND(348*Belarus*(1-E79),2)</f>
        <v>348</v>
      </c>
      <c r="K21" s="87">
        <f>ROUND(602*Belarus*(1-E79),2)</f>
        <v>602</v>
      </c>
      <c r="L21" s="87">
        <f>ROUND(354*Belarus*(1-E79),2)</f>
        <v>354</v>
      </c>
      <c r="M21" s="206">
        <f>ROUND(362*Belarus*(1-E79),2)</f>
        <v>362</v>
      </c>
      <c r="N21" s="206">
        <f>ROUND(354*Belarus*(1-E79),2)</f>
        <v>354</v>
      </c>
      <c r="O21" s="721">
        <f>ROUND(327*Belarus*(1-E79),2)</f>
        <v>327</v>
      </c>
      <c r="P21" s="90">
        <f>ROUND(308*Belarus*(1-E79),2)</f>
        <v>308</v>
      </c>
      <c r="Q21" s="87" t="s">
        <v>369</v>
      </c>
      <c r="R21" s="1514">
        <f>ROUND(456*Belarus*(1-E79),2)</f>
        <v>456</v>
      </c>
      <c r="S21" s="1516"/>
      <c r="T21" s="1514">
        <f t="shared" si="0"/>
        <v>308</v>
      </c>
      <c r="U21" s="1515"/>
      <c r="V21" s="1516"/>
    </row>
    <row r="22" spans="1:22" ht="12.75" customHeight="1">
      <c r="A22" s="1409" t="s">
        <v>762</v>
      </c>
      <c r="B22" s="1411"/>
      <c r="C22" s="93" t="s">
        <v>761</v>
      </c>
      <c r="D22" s="93">
        <v>250</v>
      </c>
      <c r="E22" s="87">
        <f>ROUND(330*Belarus*(1-E79),2)</f>
        <v>330</v>
      </c>
      <c r="F22" s="87">
        <f>ROUND(345*Belarus*(1-E79),2)</f>
        <v>345</v>
      </c>
      <c r="G22" s="90">
        <f>ROUND(370*Belarus*(1-E79),2)</f>
        <v>370</v>
      </c>
      <c r="H22" s="90">
        <f>ROUND(309*Belarus*(1-E79),2)</f>
        <v>309</v>
      </c>
      <c r="I22" s="90">
        <f>ROUND(295*Belarus*(1-E79),2)</f>
        <v>295</v>
      </c>
      <c r="J22" s="90">
        <f>ROUND(282*Belarus*(1-E79),2)</f>
        <v>282</v>
      </c>
      <c r="K22" s="87">
        <f>ROUND(484*Belarus*(1-E79),2)</f>
        <v>484</v>
      </c>
      <c r="L22" s="87">
        <f>ROUND(287*Belarus*(1-E79),2)</f>
        <v>287</v>
      </c>
      <c r="M22" s="206">
        <f>ROUND(293*Belarus*(1-E79),2)</f>
        <v>293</v>
      </c>
      <c r="N22" s="206">
        <f>ROUND(286*Belarus*(1-E79),2)</f>
        <v>286</v>
      </c>
      <c r="O22" s="721">
        <f>ROUND(265*Belarus*(1-E79),2)</f>
        <v>265</v>
      </c>
      <c r="P22" s="90">
        <f>ROUND(250*Belarus*(1-E79),2)</f>
        <v>250</v>
      </c>
      <c r="Q22" s="87" t="s">
        <v>369</v>
      </c>
      <c r="R22" s="1514">
        <f>ROUND(367*Belarus*(1-E79),2)</f>
        <v>367</v>
      </c>
      <c r="S22" s="1516"/>
      <c r="T22" s="1514">
        <f t="shared" si="0"/>
        <v>250</v>
      </c>
      <c r="U22" s="1515"/>
      <c r="V22" s="1516"/>
    </row>
    <row r="23" spans="1:22" ht="12.75" customHeight="1">
      <c r="A23" s="1409" t="s">
        <v>763</v>
      </c>
      <c r="B23" s="1411"/>
      <c r="C23" s="93" t="s">
        <v>764</v>
      </c>
      <c r="D23" s="93">
        <v>96</v>
      </c>
      <c r="E23" s="87">
        <f>ROUND(136*Belarus*(1-E79),2)</f>
        <v>136</v>
      </c>
      <c r="F23" s="87">
        <f>ROUND(142*Belarus*(1-E79),2)</f>
        <v>142</v>
      </c>
      <c r="G23" s="90">
        <f>ROUND(151*Belarus*(1-E79),2)</f>
        <v>151</v>
      </c>
      <c r="H23" s="90">
        <f>ROUND(128*Belarus*(1-E79),2)</f>
        <v>128</v>
      </c>
      <c r="I23" s="90">
        <f>ROUND(123*Belarus*(1-E79),2)</f>
        <v>123</v>
      </c>
      <c r="J23" s="90">
        <f>ROUND(117*Belarus*(1-E79),2)</f>
        <v>117</v>
      </c>
      <c r="K23" s="87">
        <f>ROUND(195*Belarus*(1-E79),2)</f>
        <v>195</v>
      </c>
      <c r="L23" s="87">
        <f>ROUND(119*Belarus*(1-E79),2)</f>
        <v>119</v>
      </c>
      <c r="M23" s="206">
        <f>ROUND(122*Belarus*(1-E79),2)</f>
        <v>122</v>
      </c>
      <c r="N23" s="206">
        <f>ROUND(119*Belarus*(1-E79),2)</f>
        <v>119</v>
      </c>
      <c r="O23" s="721">
        <f>ROUND(111*Belarus*(1-E79),2)</f>
        <v>111</v>
      </c>
      <c r="P23" s="90">
        <f>ROUND(105*Belarus*(1-E79),2)</f>
        <v>105</v>
      </c>
      <c r="Q23" s="87" t="s">
        <v>369</v>
      </c>
      <c r="R23" s="1514">
        <f>ROUND(150*Belarus*(1-E79),2)</f>
        <v>150</v>
      </c>
      <c r="S23" s="1516"/>
      <c r="T23" s="1514">
        <f t="shared" si="0"/>
        <v>105</v>
      </c>
      <c r="U23" s="1515"/>
      <c r="V23" s="1516"/>
    </row>
    <row r="24" spans="1:22" ht="12.75" customHeight="1">
      <c r="A24" s="1409" t="s">
        <v>765</v>
      </c>
      <c r="B24" s="1411"/>
      <c r="C24" s="93" t="s">
        <v>764</v>
      </c>
      <c r="D24" s="93">
        <v>225</v>
      </c>
      <c r="E24" s="87">
        <f>ROUND(330*Belarus*(1-E79),2)</f>
        <v>330</v>
      </c>
      <c r="F24" s="87">
        <f>ROUND(345*Belarus*(1-E79),2)</f>
        <v>345</v>
      </c>
      <c r="G24" s="90">
        <f>ROUND(370*Belarus*(1-E79),2)</f>
        <v>370</v>
      </c>
      <c r="H24" s="90">
        <f>ROUND(309*Belarus*(1-E79),2)</f>
        <v>309</v>
      </c>
      <c r="I24" s="90">
        <f>ROUND(295*Belarus*(1-E79),2)</f>
        <v>295</v>
      </c>
      <c r="J24" s="90">
        <f>ROUND(282*Belarus*(1-E79),2)</f>
        <v>282</v>
      </c>
      <c r="K24" s="87">
        <f>ROUND(484*Belarus*(1-E79),2)</f>
        <v>484</v>
      </c>
      <c r="L24" s="87">
        <f>ROUND(287*Belarus*(1-E79),2)</f>
        <v>287</v>
      </c>
      <c r="M24" s="206">
        <f>ROUND(293*Belarus*(1-E79),2)</f>
        <v>293</v>
      </c>
      <c r="N24" s="206">
        <f>ROUND(286*Belarus*(1-E79),2)</f>
        <v>286</v>
      </c>
      <c r="O24" s="721">
        <f>ROUND(265*Belarus*(1-E79),2)</f>
        <v>265</v>
      </c>
      <c r="P24" s="90">
        <f>ROUND(250*Belarus*(1-E79),2)</f>
        <v>250</v>
      </c>
      <c r="Q24" s="87" t="s">
        <v>369</v>
      </c>
      <c r="R24" s="1514">
        <f>ROUND(367*Belarus*(1-E79),2)</f>
        <v>367</v>
      </c>
      <c r="S24" s="1516"/>
      <c r="T24" s="1514">
        <f t="shared" si="0"/>
        <v>250</v>
      </c>
      <c r="U24" s="1515"/>
      <c r="V24" s="1516"/>
    </row>
    <row r="25" spans="1:22" ht="12.75" customHeight="1">
      <c r="A25" s="1409" t="s">
        <v>766</v>
      </c>
      <c r="B25" s="1411"/>
      <c r="C25" s="93" t="s">
        <v>764</v>
      </c>
      <c r="D25" s="93">
        <v>250</v>
      </c>
      <c r="E25" s="87">
        <f>ROUND(330*Belarus*(1-E79),2)</f>
        <v>330</v>
      </c>
      <c r="F25" s="87">
        <f>ROUND(345*Belarus*(1-E79),2)</f>
        <v>345</v>
      </c>
      <c r="G25" s="90">
        <f>ROUND(370*Belarus*(1-E79),2)</f>
        <v>370</v>
      </c>
      <c r="H25" s="90">
        <f>ROUND(309*Belarus*(1-E79),2)</f>
        <v>309</v>
      </c>
      <c r="I25" s="90">
        <f>ROUND(295*Belarus*(1-E79),2)</f>
        <v>295</v>
      </c>
      <c r="J25" s="90">
        <f>ROUND(282*Belarus*(1-E79),2)</f>
        <v>282</v>
      </c>
      <c r="K25" s="87">
        <f>ROUND(484*Belarus*(1-E79),2)</f>
        <v>484</v>
      </c>
      <c r="L25" s="87">
        <f>ROUND(287*Belarus*(1-E79),2)</f>
        <v>287</v>
      </c>
      <c r="M25" s="206">
        <f>ROUND(293*Belarus*(1-E79),2)</f>
        <v>293</v>
      </c>
      <c r="N25" s="206">
        <f>ROUND(286*Belarus*(1-E79),2)</f>
        <v>286</v>
      </c>
      <c r="O25" s="721">
        <f>ROUND(265*Belarus*(1-E79),2)</f>
        <v>265</v>
      </c>
      <c r="P25" s="90">
        <f>ROUND(250*Belarus*(1-E79),2)</f>
        <v>250</v>
      </c>
      <c r="Q25" s="87" t="s">
        <v>369</v>
      </c>
      <c r="R25" s="1514">
        <f>ROUND(367*Belarus*(1-E79),2)</f>
        <v>367</v>
      </c>
      <c r="S25" s="1516"/>
      <c r="T25" s="1514">
        <f t="shared" si="0"/>
        <v>250</v>
      </c>
      <c r="U25" s="1515"/>
      <c r="V25" s="1516"/>
    </row>
    <row r="26" spans="1:22" ht="12.75" customHeight="1">
      <c r="A26" s="1365" t="s">
        <v>3549</v>
      </c>
      <c r="B26" s="1695"/>
      <c r="C26" s="1695"/>
      <c r="D26" s="1695"/>
      <c r="E26" s="1695"/>
      <c r="F26" s="1695"/>
      <c r="G26" s="1695"/>
      <c r="H26" s="1695"/>
      <c r="I26" s="1695"/>
      <c r="J26" s="1695"/>
      <c r="K26" s="1695"/>
      <c r="L26" s="1695"/>
      <c r="M26" s="1695"/>
      <c r="N26" s="1695"/>
      <c r="O26" s="1695"/>
      <c r="P26" s="1695"/>
      <c r="Q26" s="1695"/>
      <c r="R26" s="1695"/>
      <c r="S26" s="1695"/>
      <c r="T26" s="1695"/>
      <c r="U26" s="1695"/>
      <c r="V26" s="1696"/>
    </row>
    <row r="27" spans="1:22">
      <c r="A27" s="1452" t="s">
        <v>666</v>
      </c>
      <c r="B27" s="1691"/>
      <c r="C27" s="1691"/>
      <c r="D27" s="1691"/>
      <c r="E27" s="1691"/>
      <c r="F27" s="1691"/>
      <c r="G27" s="1691"/>
      <c r="H27" s="1691"/>
      <c r="I27" s="1691"/>
      <c r="J27" s="1691"/>
      <c r="K27" s="1691"/>
      <c r="L27" s="1691"/>
      <c r="M27" s="1691"/>
      <c r="N27" s="1691"/>
      <c r="O27" s="1691"/>
      <c r="P27" s="1691"/>
      <c r="Q27" s="1691"/>
      <c r="R27" s="1691"/>
      <c r="S27" s="1691"/>
      <c r="T27" s="1691"/>
      <c r="U27" s="1691"/>
      <c r="V27" s="1692"/>
    </row>
    <row r="28" spans="1:22" ht="12" customHeight="1">
      <c r="A28" s="1697" t="s">
        <v>307</v>
      </c>
      <c r="B28" s="1697"/>
      <c r="C28" s="1698" t="s">
        <v>667</v>
      </c>
      <c r="D28" s="1699"/>
      <c r="E28" s="1702" t="s">
        <v>286</v>
      </c>
      <c r="F28" s="1703"/>
      <c r="G28" s="1703"/>
      <c r="H28" s="1703"/>
      <c r="I28" s="1703"/>
      <c r="J28" s="1703"/>
      <c r="K28" s="1703"/>
      <c r="L28" s="1703"/>
      <c r="M28" s="1703"/>
      <c r="N28" s="1703"/>
      <c r="O28" s="1703"/>
      <c r="P28" s="1703"/>
      <c r="Q28" s="1703"/>
      <c r="R28" s="1704"/>
      <c r="S28" s="1351" t="s">
        <v>767</v>
      </c>
      <c r="T28" s="1351"/>
      <c r="U28" s="1351"/>
      <c r="V28" s="1351"/>
    </row>
    <row r="29" spans="1:22" ht="41.25" customHeight="1">
      <c r="A29" s="1697"/>
      <c r="B29" s="1697"/>
      <c r="C29" s="1700"/>
      <c r="D29" s="1701"/>
      <c r="E29" s="234" t="s">
        <v>668</v>
      </c>
      <c r="F29" s="234" t="s">
        <v>329</v>
      </c>
      <c r="G29" s="824" t="s">
        <v>669</v>
      </c>
      <c r="H29" s="824" t="s">
        <v>331</v>
      </c>
      <c r="I29" s="824" t="s">
        <v>332</v>
      </c>
      <c r="J29" s="824" t="s">
        <v>333</v>
      </c>
      <c r="K29" s="234" t="s">
        <v>5383</v>
      </c>
      <c r="L29" s="234" t="s">
        <v>323</v>
      </c>
      <c r="M29" s="234" t="s">
        <v>620</v>
      </c>
      <c r="N29" s="234" t="s">
        <v>5344</v>
      </c>
      <c r="O29" s="824" t="s">
        <v>334</v>
      </c>
      <c r="P29" s="824" t="s">
        <v>335</v>
      </c>
      <c r="Q29" s="234" t="s">
        <v>671</v>
      </c>
      <c r="R29" s="234" t="s">
        <v>672</v>
      </c>
      <c r="S29" s="1351"/>
      <c r="T29" s="1351"/>
      <c r="U29" s="1351"/>
      <c r="V29" s="1351"/>
    </row>
    <row r="30" spans="1:22" ht="27.75" customHeight="1">
      <c r="A30" s="1409" t="s">
        <v>768</v>
      </c>
      <c r="B30" s="1411"/>
      <c r="C30" s="1705">
        <v>100</v>
      </c>
      <c r="D30" s="1706"/>
      <c r="E30" s="87">
        <f>ROUND($C$30*(IF($C$30&lt;625,1800,1800*1.15)/1000)*Belarus*(1-$E$80),2)</f>
        <v>180</v>
      </c>
      <c r="F30" s="87">
        <f>ROUND($C$30*(IF($C$30&lt;625,1750,1750*1.15)/1000)*Belarus*(1-$E$80),2)</f>
        <v>175</v>
      </c>
      <c r="G30" s="90">
        <f>ROUND($C$30*(IF($C$30&lt;625,2006,2006*1.15)/1000)*Belarus*(1-$E$80),2)</f>
        <v>200.6</v>
      </c>
      <c r="H30" s="90">
        <f>ROUND($C$30*(IF($C$30&lt;625,1715,1715*1.15)/1000)*Belarus*(1-$E$80),2)</f>
        <v>171.5</v>
      </c>
      <c r="I30" s="90">
        <f>ROUND($C$30*(IF($C$30&lt;625,1597,1597*1.15)/1000)*Belarus*(1-$E$80),2)</f>
        <v>159.69999999999999</v>
      </c>
      <c r="J30" s="90">
        <f>ROUND($C$30*(IF($C$30&lt;625,1591,1591*1.15)/1000)*Belarus*(1-$E$80),2)</f>
        <v>159.1</v>
      </c>
      <c r="K30" s="87">
        <f>ROUND($C$30*(IF($C$30&lt;625,2470,2470*1.15)/1000)*Belarus*(1-$E$80),2)</f>
        <v>247</v>
      </c>
      <c r="L30" s="87">
        <f>ROUND($C$30*(IF($C$30&lt;625,1581,1581*1.15)/1000)*Belarus*(1-$E$80),2)</f>
        <v>158.1</v>
      </c>
      <c r="M30" s="88">
        <f>ROUND($C$30*(IF($C$30&lt;625,1591,1591*1.15)/1000)*Belarus*(1-$E$80),2)</f>
        <v>159.1</v>
      </c>
      <c r="N30" s="88">
        <f>ROUND($C$30*(IF($C$30&lt;625,1572,1591*1.15)/1000)*Belarus*(1-$E$80),2)</f>
        <v>157.19999999999999</v>
      </c>
      <c r="O30" s="721">
        <f>ROUND($C$30*(IF($C$30&lt;625,1564,1564*1.15)/1000)*Belarus*(1-$E$80),2)</f>
        <v>156.4</v>
      </c>
      <c r="P30" s="90">
        <f>ROUND($C$30*(IF($C$30&lt;625,1553,1553*1.15)/1000)*Belarus*(1-$E$80),2)</f>
        <v>155.30000000000001</v>
      </c>
      <c r="Q30" s="87">
        <f>ROUND($C$30*(IF($C$30&lt;625,1833,1833*1.15)/1000)*Belarus*(1-$E$80),2)</f>
        <v>183.3</v>
      </c>
      <c r="R30" s="87">
        <f>ROUND($C$30*(IF($C$30&lt;625,1553,1553*1.15)/1000)*Belarus*(1-$E$80),2)</f>
        <v>155.30000000000001</v>
      </c>
      <c r="S30" s="1351"/>
      <c r="T30" s="1351"/>
      <c r="U30" s="1351"/>
      <c r="V30" s="1351"/>
    </row>
    <row r="31" spans="1:22" s="96" customFormat="1">
      <c r="A31" s="164"/>
      <c r="B31" s="76"/>
      <c r="C31" s="76"/>
      <c r="D31" s="76"/>
      <c r="E31" s="76"/>
      <c r="G31" s="76"/>
      <c r="H31" s="76"/>
      <c r="I31" s="76"/>
      <c r="J31" s="76"/>
      <c r="K31" s="76"/>
      <c r="L31" s="76"/>
      <c r="M31" s="76"/>
      <c r="N31" s="76"/>
      <c r="O31" s="76"/>
      <c r="P31" s="76"/>
      <c r="Q31" s="76"/>
      <c r="R31" s="76"/>
    </row>
    <row r="32" spans="1:22" s="96" customFormat="1">
      <c r="A32" s="1491" t="s">
        <v>575</v>
      </c>
      <c r="B32" s="1491"/>
      <c r="C32" s="1491"/>
      <c r="D32" s="1491"/>
      <c r="E32" s="1491"/>
      <c r="F32" s="1639" t="s">
        <v>769</v>
      </c>
      <c r="G32" s="1639"/>
      <c r="H32" s="76"/>
      <c r="I32" s="1491" t="s">
        <v>575</v>
      </c>
      <c r="J32" s="1491"/>
      <c r="K32" s="1491"/>
      <c r="L32" s="1491"/>
      <c r="M32" s="1491"/>
      <c r="N32" s="1491"/>
      <c r="O32" s="1491"/>
      <c r="P32" s="1491"/>
      <c r="Q32" s="1491"/>
      <c r="R32" s="1491"/>
      <c r="S32" s="1491"/>
      <c r="T32" s="1491"/>
      <c r="U32" s="1639" t="s">
        <v>769</v>
      </c>
      <c r="V32" s="1639"/>
    </row>
    <row r="33" spans="1:22" s="96" customFormat="1" ht="12.75" customHeight="1">
      <c r="A33" s="1351" t="s">
        <v>771</v>
      </c>
      <c r="B33" s="1351"/>
      <c r="C33" s="1351"/>
      <c r="D33" s="1351"/>
      <c r="E33" s="1351"/>
      <c r="F33" s="1675">
        <f>1250*Belarus</f>
        <v>1250</v>
      </c>
      <c r="G33" s="1675"/>
      <c r="H33" s="76"/>
      <c r="I33" s="1351" t="s">
        <v>770</v>
      </c>
      <c r="J33" s="1351"/>
      <c r="K33" s="1351"/>
      <c r="L33" s="1351"/>
      <c r="M33" s="1351"/>
      <c r="N33" s="1351"/>
      <c r="O33" s="1351"/>
      <c r="P33" s="1351"/>
      <c r="Q33" s="1351"/>
      <c r="R33" s="1351"/>
      <c r="S33" s="1351"/>
      <c r="T33" s="1351"/>
      <c r="U33" s="1675">
        <f>5040*Belarus</f>
        <v>5040</v>
      </c>
      <c r="V33" s="1675"/>
    </row>
    <row r="34" spans="1:22" s="96" customFormat="1" ht="12.75" customHeight="1">
      <c r="A34" s="1351"/>
      <c r="B34" s="1351"/>
      <c r="C34" s="1351"/>
      <c r="D34" s="1351"/>
      <c r="E34" s="1351"/>
      <c r="F34" s="1675"/>
      <c r="G34" s="1675"/>
      <c r="H34" s="76"/>
      <c r="I34" s="1707" t="s">
        <v>772</v>
      </c>
      <c r="J34" s="1707"/>
      <c r="K34" s="1707"/>
      <c r="L34" s="1707"/>
      <c r="M34" s="1707"/>
      <c r="N34" s="1707"/>
      <c r="O34" s="1707"/>
      <c r="P34" s="1707"/>
      <c r="Q34" s="1707"/>
      <c r="R34" s="1707"/>
      <c r="S34" s="1707"/>
      <c r="T34" s="1707"/>
      <c r="U34" s="1708">
        <f>160*Belarus</f>
        <v>160</v>
      </c>
      <c r="V34" s="1709"/>
    </row>
    <row r="35" spans="1:22" s="96" customFormat="1">
      <c r="A35" s="1351" t="s">
        <v>773</v>
      </c>
      <c r="B35" s="1351"/>
      <c r="C35" s="1351"/>
      <c r="D35" s="1351"/>
      <c r="E35" s="1351"/>
      <c r="F35" s="1675">
        <f>399*Belarus</f>
        <v>399</v>
      </c>
      <c r="G35" s="1675"/>
      <c r="H35" s="76"/>
      <c r="I35" s="1707"/>
      <c r="J35" s="1707"/>
      <c r="K35" s="1707"/>
      <c r="L35" s="1707"/>
      <c r="M35" s="1707"/>
      <c r="N35" s="1707"/>
      <c r="O35" s="1707"/>
      <c r="P35" s="1707"/>
      <c r="Q35" s="1707"/>
      <c r="R35" s="1707"/>
      <c r="S35" s="1707"/>
      <c r="T35" s="1707"/>
      <c r="U35" s="1710"/>
      <c r="V35" s="1711"/>
    </row>
    <row r="36" spans="1:22" s="96" customFormat="1">
      <c r="A36" s="1351" t="s">
        <v>578</v>
      </c>
      <c r="B36" s="1351"/>
      <c r="C36" s="1351"/>
      <c r="D36" s="1351"/>
      <c r="E36" s="1351"/>
      <c r="F36" s="1675">
        <f>230*Belarus</f>
        <v>230</v>
      </c>
      <c r="G36" s="1675"/>
      <c r="H36" s="76"/>
      <c r="I36" s="1296" t="s">
        <v>6532</v>
      </c>
      <c r="J36" s="1296"/>
      <c r="K36" s="1296"/>
      <c r="L36" s="1296"/>
      <c r="M36" s="1296"/>
      <c r="N36" s="1296"/>
      <c r="O36" s="1296"/>
      <c r="P36" s="1296"/>
      <c r="Q36" s="1296"/>
      <c r="R36" s="1296"/>
      <c r="S36" s="1296"/>
      <c r="T36" s="1296"/>
      <c r="U36" s="1675">
        <f>15*Belarus</f>
        <v>15</v>
      </c>
      <c r="V36" s="1675"/>
    </row>
    <row r="37" spans="1:22" s="96" customFormat="1">
      <c r="A37" s="1491" t="s">
        <v>775</v>
      </c>
      <c r="B37" s="1491"/>
      <c r="C37" s="1491"/>
      <c r="D37" s="1491"/>
      <c r="E37" s="1491"/>
      <c r="F37" s="1639" t="s">
        <v>769</v>
      </c>
      <c r="G37" s="1639"/>
      <c r="H37" s="76"/>
      <c r="I37" s="1296" t="s">
        <v>774</v>
      </c>
      <c r="J37" s="1296"/>
      <c r="K37" s="1296"/>
      <c r="L37" s="1296"/>
      <c r="M37" s="1296"/>
      <c r="N37" s="1296"/>
      <c r="O37" s="1296"/>
      <c r="P37" s="1296"/>
      <c r="Q37" s="1296"/>
      <c r="R37" s="1296"/>
      <c r="S37" s="1296"/>
      <c r="T37" s="1296"/>
      <c r="U37" s="1675">
        <f>15*Belarus</f>
        <v>15</v>
      </c>
      <c r="V37" s="1675"/>
    </row>
    <row r="38" spans="1:22" s="96" customFormat="1" ht="12.75" customHeight="1">
      <c r="A38" s="1296" t="s">
        <v>777</v>
      </c>
      <c r="B38" s="1296"/>
      <c r="C38" s="1296"/>
      <c r="D38" s="1296"/>
      <c r="E38" s="1296"/>
      <c r="F38" s="1675">
        <f>15200*Belarus</f>
        <v>15200</v>
      </c>
      <c r="G38" s="1675"/>
      <c r="H38" s="76"/>
      <c r="I38" s="1296" t="s">
        <v>776</v>
      </c>
      <c r="J38" s="1296"/>
      <c r="K38" s="1296"/>
      <c r="L38" s="1296"/>
      <c r="M38" s="1296"/>
      <c r="N38" s="1296"/>
      <c r="O38" s="1296"/>
      <c r="P38" s="1296"/>
      <c r="Q38" s="1296"/>
      <c r="R38" s="1296"/>
      <c r="S38" s="1296"/>
      <c r="T38" s="1296"/>
      <c r="U38" s="1675">
        <f>29*Belarus</f>
        <v>29</v>
      </c>
      <c r="V38" s="1675"/>
    </row>
    <row r="39" spans="1:22" s="96" customFormat="1" ht="12.75" customHeight="1">
      <c r="A39" s="1296" t="s">
        <v>778</v>
      </c>
      <c r="B39" s="1296"/>
      <c r="C39" s="1296"/>
      <c r="D39" s="1296"/>
      <c r="E39" s="1296"/>
      <c r="F39" s="1675">
        <f>17500*Belarus</f>
        <v>17500</v>
      </c>
      <c r="G39" s="1675"/>
      <c r="H39" s="76"/>
      <c r="I39" s="1296" t="s">
        <v>5384</v>
      </c>
      <c r="J39" s="1296"/>
      <c r="K39" s="1296"/>
      <c r="L39" s="1296"/>
      <c r="M39" s="1296"/>
      <c r="N39" s="1296"/>
      <c r="O39" s="1296"/>
      <c r="P39" s="1296"/>
      <c r="Q39" s="1296"/>
      <c r="R39" s="1296"/>
      <c r="S39" s="1296"/>
      <c r="T39" s="1296"/>
      <c r="U39" s="1675">
        <f>430*Belarus</f>
        <v>430</v>
      </c>
      <c r="V39" s="1675"/>
    </row>
    <row r="40" spans="1:22" s="96" customFormat="1">
      <c r="A40" s="1296" t="s">
        <v>780</v>
      </c>
      <c r="B40" s="1296"/>
      <c r="C40" s="1296"/>
      <c r="D40" s="1296"/>
      <c r="E40" s="1296"/>
      <c r="F40" s="1675">
        <f>14690*Belarus</f>
        <v>14690</v>
      </c>
      <c r="G40" s="1675"/>
      <c r="H40" s="76"/>
      <c r="I40" s="1296" t="s">
        <v>779</v>
      </c>
      <c r="J40" s="1296"/>
      <c r="K40" s="1296"/>
      <c r="L40" s="1296"/>
      <c r="M40" s="1296"/>
      <c r="N40" s="1296"/>
      <c r="O40" s="1296"/>
      <c r="P40" s="1296"/>
      <c r="Q40" s="1296"/>
      <c r="R40" s="1296"/>
      <c r="S40" s="1296"/>
      <c r="T40" s="1296"/>
      <c r="U40" s="1674">
        <f>360*Belarus</f>
        <v>360</v>
      </c>
      <c r="V40" s="1674"/>
    </row>
    <row r="41" spans="1:22" s="96" customFormat="1" ht="12.75" customHeight="1">
      <c r="A41" s="1296" t="s">
        <v>781</v>
      </c>
      <c r="B41" s="1296"/>
      <c r="C41" s="1296"/>
      <c r="D41" s="1296"/>
      <c r="E41" s="1296"/>
      <c r="F41" s="1675">
        <f>14870*Belarus</f>
        <v>14870</v>
      </c>
      <c r="G41" s="1675"/>
      <c r="H41" s="76"/>
      <c r="I41" s="1296" t="s">
        <v>590</v>
      </c>
      <c r="J41" s="1296"/>
      <c r="K41" s="1296"/>
      <c r="L41" s="1296"/>
      <c r="M41" s="1296"/>
      <c r="N41" s="1296"/>
      <c r="O41" s="1296"/>
      <c r="P41" s="1296"/>
      <c r="Q41" s="1296"/>
      <c r="R41" s="1296"/>
      <c r="S41" s="1296"/>
      <c r="T41" s="1296"/>
      <c r="U41" s="1675">
        <f>1450*Belarus</f>
        <v>1450</v>
      </c>
      <c r="V41" s="1675"/>
    </row>
    <row r="42" spans="1:22" s="96" customFormat="1">
      <c r="A42" s="1491" t="s">
        <v>783</v>
      </c>
      <c r="B42" s="1491"/>
      <c r="C42" s="1491"/>
      <c r="D42" s="1491"/>
      <c r="E42" s="1491"/>
      <c r="F42" s="1639" t="s">
        <v>769</v>
      </c>
      <c r="G42" s="1639"/>
      <c r="H42" s="76"/>
      <c r="I42" s="1296" t="s">
        <v>782</v>
      </c>
      <c r="J42" s="1296"/>
      <c r="K42" s="1296"/>
      <c r="L42" s="1296"/>
      <c r="M42" s="1296"/>
      <c r="N42" s="1296"/>
      <c r="O42" s="1296"/>
      <c r="P42" s="1296"/>
      <c r="Q42" s="1296"/>
      <c r="R42" s="1296"/>
      <c r="S42" s="1296"/>
      <c r="T42" s="1296"/>
      <c r="U42" s="1675">
        <f>1480*Belarus</f>
        <v>1480</v>
      </c>
      <c r="V42" s="1675"/>
    </row>
    <row r="43" spans="1:22" s="96" customFormat="1" ht="12.75" customHeight="1">
      <c r="A43" s="1296" t="s">
        <v>785</v>
      </c>
      <c r="B43" s="1296"/>
      <c r="C43" s="1296"/>
      <c r="D43" s="1296"/>
      <c r="E43" s="1296"/>
      <c r="F43" s="1675">
        <f>3650*Belarus</f>
        <v>3650</v>
      </c>
      <c r="G43" s="1675"/>
      <c r="H43" s="76"/>
      <c r="I43" s="1296" t="s">
        <v>784</v>
      </c>
      <c r="J43" s="1296"/>
      <c r="K43" s="1296"/>
      <c r="L43" s="1296"/>
      <c r="M43" s="1296"/>
      <c r="N43" s="1296"/>
      <c r="O43" s="1296"/>
      <c r="P43" s="1296"/>
      <c r="Q43" s="1296"/>
      <c r="R43" s="1296"/>
      <c r="S43" s="1296"/>
      <c r="T43" s="1296"/>
      <c r="U43" s="1675">
        <f>3124*Belarus</f>
        <v>3124</v>
      </c>
      <c r="V43" s="1675"/>
    </row>
    <row r="44" spans="1:22" s="96" customFormat="1">
      <c r="A44" s="1296" t="s">
        <v>787</v>
      </c>
      <c r="B44" s="1296"/>
      <c r="C44" s="1296"/>
      <c r="D44" s="1296"/>
      <c r="E44" s="1296"/>
      <c r="F44" s="1675">
        <f>2468*Belarus</f>
        <v>2468</v>
      </c>
      <c r="G44" s="1675"/>
      <c r="H44" s="76"/>
      <c r="I44" s="1452" t="s">
        <v>786</v>
      </c>
      <c r="J44" s="1477"/>
      <c r="K44" s="1477"/>
      <c r="L44" s="1477"/>
      <c r="M44" s="1477"/>
      <c r="N44" s="1477"/>
      <c r="O44" s="1477"/>
      <c r="P44" s="1477"/>
      <c r="Q44" s="1477"/>
      <c r="R44" s="1477"/>
      <c r="S44" s="1477"/>
      <c r="T44" s="1478"/>
      <c r="U44" s="1639" t="s">
        <v>769</v>
      </c>
      <c r="V44" s="1639"/>
    </row>
    <row r="45" spans="1:22" s="96" customFormat="1">
      <c r="A45" s="1296" t="s">
        <v>789</v>
      </c>
      <c r="B45" s="1296"/>
      <c r="C45" s="1296"/>
      <c r="D45" s="1296"/>
      <c r="E45" s="1296"/>
      <c r="F45" s="1675">
        <f>2468*Belarus</f>
        <v>2468</v>
      </c>
      <c r="G45" s="1675"/>
      <c r="H45" s="76"/>
      <c r="I45" s="1677" t="s">
        <v>788</v>
      </c>
      <c r="J45" s="1677"/>
      <c r="K45" s="1677"/>
      <c r="L45" s="1677"/>
      <c r="M45" s="1677"/>
      <c r="N45" s="1677"/>
      <c r="O45" s="1677"/>
      <c r="P45" s="1677"/>
      <c r="Q45" s="1677"/>
      <c r="R45" s="1677"/>
      <c r="S45" s="1677"/>
      <c r="T45" s="1677"/>
      <c r="U45" s="1674">
        <f>0.74*Belarus</f>
        <v>0.74</v>
      </c>
      <c r="V45" s="1674"/>
    </row>
    <row r="46" spans="1:22" s="96" customFormat="1">
      <c r="A46" s="1296" t="s">
        <v>790</v>
      </c>
      <c r="B46" s="1296"/>
      <c r="C46" s="1296"/>
      <c r="D46" s="1296"/>
      <c r="E46" s="1296"/>
      <c r="F46" s="1675">
        <f>11350*Belarus</f>
        <v>11350</v>
      </c>
      <c r="G46" s="1675"/>
      <c r="H46" s="76"/>
      <c r="I46" s="1677" t="s">
        <v>788</v>
      </c>
      <c r="J46" s="1677"/>
      <c r="K46" s="1677"/>
      <c r="L46" s="1677"/>
      <c r="M46" s="1677"/>
      <c r="N46" s="1677"/>
      <c r="O46" s="1677"/>
      <c r="P46" s="1677"/>
      <c r="Q46" s="1677"/>
      <c r="R46" s="1677"/>
      <c r="S46" s="1677"/>
      <c r="T46" s="1677"/>
      <c r="U46" s="1674">
        <f>0.74*Belarus</f>
        <v>0.74</v>
      </c>
      <c r="V46" s="1674"/>
    </row>
    <row r="47" spans="1:22" s="96" customFormat="1">
      <c r="A47" s="1296" t="s">
        <v>792</v>
      </c>
      <c r="B47" s="1296"/>
      <c r="C47" s="1296"/>
      <c r="D47" s="1296"/>
      <c r="E47" s="1296"/>
      <c r="F47" s="1675">
        <f>7776*Belarus</f>
        <v>7776</v>
      </c>
      <c r="G47" s="1675"/>
      <c r="H47" s="76"/>
      <c r="I47" s="1452" t="s">
        <v>791</v>
      </c>
      <c r="J47" s="1477"/>
      <c r="K47" s="1477"/>
      <c r="L47" s="1477"/>
      <c r="M47" s="1477"/>
      <c r="N47" s="1477"/>
      <c r="O47" s="1477"/>
      <c r="P47" s="1477"/>
      <c r="Q47" s="1477"/>
      <c r="R47" s="1477"/>
      <c r="S47" s="1477"/>
      <c r="T47" s="1478"/>
      <c r="U47" s="1639" t="s">
        <v>769</v>
      </c>
      <c r="V47" s="1639"/>
    </row>
    <row r="48" spans="1:22" s="96" customFormat="1">
      <c r="A48" s="1296" t="s">
        <v>794</v>
      </c>
      <c r="B48" s="1296"/>
      <c r="C48" s="1296"/>
      <c r="D48" s="1296"/>
      <c r="E48" s="1296"/>
      <c r="F48" s="1675">
        <f>4290*Belarus</f>
        <v>4290</v>
      </c>
      <c r="G48" s="1675"/>
      <c r="H48" s="76"/>
      <c r="I48" s="1677" t="s">
        <v>793</v>
      </c>
      <c r="J48" s="1677"/>
      <c r="K48" s="1677"/>
      <c r="L48" s="1677"/>
      <c r="M48" s="1677"/>
      <c r="N48" s="1677"/>
      <c r="O48" s="1677"/>
      <c r="P48" s="1677"/>
      <c r="Q48" s="1677"/>
      <c r="R48" s="1677"/>
      <c r="S48" s="1677"/>
      <c r="T48" s="1677"/>
      <c r="U48" s="1675">
        <f>1.5*Belarus</f>
        <v>1.5</v>
      </c>
      <c r="V48" s="1676"/>
    </row>
    <row r="49" spans="1:22" s="96" customFormat="1">
      <c r="A49" s="1296" t="s">
        <v>796</v>
      </c>
      <c r="B49" s="1296"/>
      <c r="C49" s="1296"/>
      <c r="D49" s="1296"/>
      <c r="E49" s="1296"/>
      <c r="F49" s="1675">
        <f>2400*Belarus</f>
        <v>2400</v>
      </c>
      <c r="G49" s="1675"/>
      <c r="H49" s="76"/>
      <c r="I49" s="1677" t="s">
        <v>795</v>
      </c>
      <c r="J49" s="1677"/>
      <c r="K49" s="1677"/>
      <c r="L49" s="1677"/>
      <c r="M49" s="1677"/>
      <c r="N49" s="1677"/>
      <c r="O49" s="1677"/>
      <c r="P49" s="1677"/>
      <c r="Q49" s="1677"/>
      <c r="R49" s="1677"/>
      <c r="S49" s="1677"/>
      <c r="T49" s="1677"/>
      <c r="U49" s="1675">
        <f>1.55*Belarus</f>
        <v>1.55</v>
      </c>
      <c r="V49" s="1676"/>
    </row>
    <row r="50" spans="1:22" s="96" customFormat="1">
      <c r="A50" s="1491" t="s">
        <v>420</v>
      </c>
      <c r="B50" s="1491"/>
      <c r="C50" s="1491"/>
      <c r="D50" s="1491"/>
      <c r="E50" s="1491"/>
      <c r="F50" s="1491"/>
      <c r="G50" s="1491"/>
      <c r="H50" s="76"/>
      <c r="I50" s="1677" t="s">
        <v>797</v>
      </c>
      <c r="J50" s="1677"/>
      <c r="K50" s="1677"/>
      <c r="L50" s="1677"/>
      <c r="M50" s="1677"/>
      <c r="N50" s="1677"/>
      <c r="O50" s="1677"/>
      <c r="P50" s="1677"/>
      <c r="Q50" s="1677"/>
      <c r="R50" s="1677"/>
      <c r="S50" s="1677"/>
      <c r="T50" s="1677"/>
      <c r="U50" s="1675">
        <f>1.9*Belarus</f>
        <v>1.9</v>
      </c>
      <c r="V50" s="1676"/>
    </row>
    <row r="51" spans="1:22" s="96" customFormat="1">
      <c r="A51" s="1280" t="s">
        <v>425</v>
      </c>
      <c r="B51" s="1280"/>
      <c r="C51" s="1280"/>
      <c r="D51" s="1280"/>
      <c r="E51" s="1280"/>
      <c r="F51" s="1280"/>
      <c r="G51" s="1280"/>
      <c r="H51" s="76"/>
      <c r="I51" s="1677" t="s">
        <v>798</v>
      </c>
      <c r="J51" s="1677"/>
      <c r="K51" s="1677"/>
      <c r="L51" s="1677"/>
      <c r="M51" s="1677"/>
      <c r="N51" s="1677"/>
      <c r="O51" s="1677"/>
      <c r="P51" s="1677"/>
      <c r="Q51" s="1677"/>
      <c r="R51" s="1677"/>
      <c r="S51" s="1677"/>
      <c r="T51" s="1677"/>
      <c r="U51" s="1675">
        <f>1.03*Belarus</f>
        <v>1.03</v>
      </c>
      <c r="V51" s="1676"/>
    </row>
    <row r="52" spans="1:22" s="96" customFormat="1">
      <c r="A52" s="1356" t="s">
        <v>3726</v>
      </c>
      <c r="B52" s="1357"/>
      <c r="C52" s="1357"/>
      <c r="D52" s="1357"/>
      <c r="E52" s="1357"/>
      <c r="F52" s="1357"/>
      <c r="G52" s="1358"/>
      <c r="H52" s="76"/>
      <c r="I52" s="1677" t="s">
        <v>799</v>
      </c>
      <c r="J52" s="1677"/>
      <c r="K52" s="1677"/>
      <c r="L52" s="1677"/>
      <c r="M52" s="1677"/>
      <c r="N52" s="1677"/>
      <c r="O52" s="1677"/>
      <c r="P52" s="1677"/>
      <c r="Q52" s="1677"/>
      <c r="R52" s="1677"/>
      <c r="S52" s="1677"/>
      <c r="T52" s="1677"/>
      <c r="U52" s="1675">
        <f>1.16*Belarus</f>
        <v>1.1599999999999999</v>
      </c>
      <c r="V52" s="1676"/>
    </row>
    <row r="53" spans="1:22" s="96" customFormat="1">
      <c r="A53" s="1351" t="s">
        <v>6768</v>
      </c>
      <c r="B53" s="1351"/>
      <c r="C53" s="1351"/>
      <c r="D53" s="1351"/>
      <c r="E53" s="1351"/>
      <c r="F53" s="1351"/>
      <c r="G53" s="1351"/>
      <c r="H53" s="76"/>
      <c r="I53" s="1677" t="s">
        <v>801</v>
      </c>
      <c r="J53" s="1677"/>
      <c r="K53" s="1677"/>
      <c r="L53" s="1677"/>
      <c r="M53" s="1677"/>
      <c r="N53" s="1677"/>
      <c r="O53" s="1677"/>
      <c r="P53" s="1677"/>
      <c r="Q53" s="1677"/>
      <c r="R53" s="1677"/>
      <c r="S53" s="1677"/>
      <c r="T53" s="1677"/>
      <c r="U53" s="1675">
        <f>1.48*Belarus</f>
        <v>1.48</v>
      </c>
      <c r="V53" s="1676"/>
    </row>
    <row r="54" spans="1:22" ht="13.5" customHeight="1">
      <c r="A54" s="1351"/>
      <c r="B54" s="1351"/>
      <c r="C54" s="1351"/>
      <c r="D54" s="1351"/>
      <c r="E54" s="1351"/>
      <c r="F54" s="1351"/>
      <c r="G54" s="1351"/>
      <c r="I54" s="1296" t="s">
        <v>802</v>
      </c>
      <c r="J54" s="1296"/>
      <c r="K54" s="1296"/>
      <c r="L54" s="1296"/>
      <c r="M54" s="1296"/>
      <c r="N54" s="1296"/>
      <c r="O54" s="1296"/>
      <c r="P54" s="1296"/>
      <c r="Q54" s="1296"/>
      <c r="R54" s="1296"/>
      <c r="S54" s="1296"/>
      <c r="T54" s="1296"/>
      <c r="U54" s="1296"/>
      <c r="V54" s="1296"/>
    </row>
    <row r="55" spans="1:22" ht="40.5" customHeight="1">
      <c r="A55" s="1351"/>
      <c r="B55" s="1351"/>
      <c r="C55" s="1351"/>
      <c r="D55" s="1351"/>
      <c r="E55" s="1351"/>
      <c r="F55" s="1351"/>
      <c r="G55" s="1351"/>
    </row>
    <row r="56" spans="1:22">
      <c r="A56" s="1280" t="s">
        <v>3718</v>
      </c>
      <c r="B56" s="1280"/>
      <c r="C56" s="1280"/>
      <c r="D56" s="1280"/>
      <c r="E56" s="1280"/>
      <c r="F56" s="1280"/>
      <c r="G56" s="1280"/>
    </row>
    <row r="57" spans="1:22" ht="12.75" customHeight="1">
      <c r="A57" s="1377" t="s">
        <v>3727</v>
      </c>
      <c r="B57" s="1377"/>
      <c r="C57" s="1377"/>
      <c r="D57" s="1377"/>
      <c r="E57" s="1377"/>
      <c r="F57" s="1377"/>
      <c r="G57" s="1377"/>
    </row>
    <row r="58" spans="1:22" ht="12.75" customHeight="1">
      <c r="A58" s="1377"/>
      <c r="B58" s="1377"/>
      <c r="C58" s="1377"/>
      <c r="D58" s="1377"/>
      <c r="E58" s="1377"/>
      <c r="F58" s="1377"/>
      <c r="G58" s="1377"/>
      <c r="I58" s="1398" t="s">
        <v>597</v>
      </c>
      <c r="J58" s="1398"/>
      <c r="K58" s="1398"/>
      <c r="L58" s="1398"/>
      <c r="M58" s="1398"/>
      <c r="N58" s="1398"/>
      <c r="O58" s="1398"/>
      <c r="P58" s="1398"/>
      <c r="Q58" s="1398" t="s">
        <v>800</v>
      </c>
      <c r="R58" s="1398"/>
      <c r="S58" s="1398"/>
      <c r="T58" s="1398"/>
      <c r="U58" s="1398"/>
      <c r="V58" s="1398"/>
    </row>
    <row r="59" spans="1:22" ht="27" customHeight="1">
      <c r="A59" s="1713" t="s">
        <v>6662</v>
      </c>
      <c r="B59" s="1714"/>
      <c r="C59" s="1714"/>
      <c r="D59" s="1714"/>
      <c r="E59" s="1714"/>
      <c r="F59" s="1714"/>
      <c r="G59" s="1715"/>
      <c r="I59" s="1398"/>
      <c r="J59" s="1398"/>
      <c r="K59" s="1398"/>
      <c r="L59" s="1398"/>
      <c r="M59" s="1398"/>
      <c r="N59" s="1398"/>
      <c r="O59" s="1398"/>
      <c r="P59" s="1398"/>
      <c r="Q59" s="1398"/>
      <c r="R59" s="1398"/>
      <c r="S59" s="1398"/>
      <c r="T59" s="1398"/>
      <c r="U59" s="1398"/>
      <c r="V59" s="1398"/>
    </row>
    <row r="60" spans="1:22">
      <c r="A60" s="1351" t="s">
        <v>4193</v>
      </c>
      <c r="B60" s="1351"/>
      <c r="C60" s="1351"/>
      <c r="D60" s="1351"/>
      <c r="E60" s="1351"/>
      <c r="F60" s="1351"/>
      <c r="G60" s="1351"/>
      <c r="H60" s="138"/>
      <c r="I60" s="1630" t="s">
        <v>483</v>
      </c>
      <c r="J60" s="1630"/>
      <c r="K60" s="1630"/>
      <c r="L60" s="131" t="s">
        <v>484</v>
      </c>
      <c r="M60" s="1398" t="s">
        <v>485</v>
      </c>
      <c r="N60" s="1398"/>
      <c r="O60" s="1398"/>
      <c r="P60" s="1398"/>
      <c r="Q60" s="1712" t="s">
        <v>483</v>
      </c>
      <c r="R60" s="1630"/>
      <c r="S60" s="1630"/>
      <c r="T60" s="815" t="s">
        <v>484</v>
      </c>
      <c r="U60" s="1352" t="s">
        <v>485</v>
      </c>
      <c r="V60" s="1352"/>
    </row>
    <row r="61" spans="1:22">
      <c r="A61" s="1351"/>
      <c r="B61" s="1351"/>
      <c r="C61" s="1351"/>
      <c r="D61" s="1351"/>
      <c r="E61" s="1351"/>
      <c r="F61" s="1351"/>
      <c r="G61" s="1351"/>
      <c r="H61" s="138"/>
      <c r="I61" s="1280" t="s">
        <v>599</v>
      </c>
      <c r="J61" s="1280"/>
      <c r="K61" s="1280"/>
      <c r="L61" s="43" t="str">
        <f>(1500*Belarus)&amp;" руб."</f>
        <v>1500 руб.</v>
      </c>
      <c r="M61" s="1716" t="s">
        <v>488</v>
      </c>
      <c r="N61" s="1716"/>
      <c r="O61" s="1716"/>
      <c r="P61" s="1716"/>
      <c r="Q61" s="1358" t="s">
        <v>603</v>
      </c>
      <c r="R61" s="1280"/>
      <c r="S61" s="1280"/>
      <c r="T61" s="148">
        <v>0.7</v>
      </c>
      <c r="U61" s="1281" t="s">
        <v>488</v>
      </c>
      <c r="V61" s="1281"/>
    </row>
    <row r="62" spans="1:22">
      <c r="A62" s="1351"/>
      <c r="B62" s="1351"/>
      <c r="C62" s="1351"/>
      <c r="D62" s="1351"/>
      <c r="E62" s="1351"/>
      <c r="F62" s="1351"/>
      <c r="G62" s="1351"/>
      <c r="H62" s="138"/>
      <c r="I62" s="1280" t="s">
        <v>601</v>
      </c>
      <c r="J62" s="1280"/>
      <c r="K62" s="1280"/>
      <c r="L62" s="129">
        <v>1</v>
      </c>
      <c r="M62" s="1716"/>
      <c r="N62" s="1716"/>
      <c r="O62" s="1716"/>
      <c r="P62" s="1716"/>
      <c r="Q62" s="1358" t="s">
        <v>607</v>
      </c>
      <c r="R62" s="1280"/>
      <c r="S62" s="1280"/>
      <c r="T62" s="148">
        <v>0.3</v>
      </c>
      <c r="U62" s="1281"/>
      <c r="V62" s="1281"/>
    </row>
    <row r="63" spans="1:22">
      <c r="A63" s="1296" t="s">
        <v>6570</v>
      </c>
      <c r="B63" s="1505"/>
      <c r="C63" s="1505"/>
      <c r="D63" s="1505"/>
      <c r="E63" s="1505"/>
      <c r="F63" s="1505"/>
      <c r="G63" s="1505"/>
      <c r="H63" s="138"/>
      <c r="I63" s="1280" t="s">
        <v>605</v>
      </c>
      <c r="J63" s="1280"/>
      <c r="K63" s="1280"/>
      <c r="L63" s="129">
        <v>0.2</v>
      </c>
      <c r="M63" s="1716"/>
      <c r="N63" s="1716"/>
      <c r="O63" s="1716"/>
      <c r="P63" s="1716"/>
      <c r="Q63" s="1358" t="s">
        <v>611</v>
      </c>
      <c r="R63" s="1280"/>
      <c r="S63" s="1280"/>
      <c r="T63" s="148">
        <v>0.15</v>
      </c>
      <c r="U63" s="1281"/>
      <c r="V63" s="1281"/>
    </row>
    <row r="64" spans="1:22">
      <c r="A64" s="1351" t="str">
        <f>"Продукция в покрытии Ре 0,45 в цветах RAL 1018 и 2004 (кроме штакетника и доборных элементов) на "&amp;(18*Belarus)&amp;" рублей дороже продукции в покрытии Ре 0,45 в остальных цветах."</f>
        <v>Продукция в покрытии Ре 0,45 в цветах RAL 1018 и 2004 (кроме штакетника и доборных элементов) на 18 рублей дороже продукции в покрытии Ре 0,45 в остальных цветах.</v>
      </c>
      <c r="B64" s="1351"/>
      <c r="C64" s="1351"/>
      <c r="D64" s="1351"/>
      <c r="E64" s="1351"/>
      <c r="F64" s="1351"/>
      <c r="G64" s="1351"/>
      <c r="H64" s="138"/>
      <c r="I64" s="1280" t="s">
        <v>609</v>
      </c>
      <c r="J64" s="1280"/>
      <c r="K64" s="1280"/>
      <c r="L64" s="129">
        <v>0.1</v>
      </c>
      <c r="M64" s="1716"/>
      <c r="N64" s="1716"/>
      <c r="O64" s="1716"/>
      <c r="P64" s="1716"/>
      <c r="Q64" s="1358" t="s">
        <v>614</v>
      </c>
      <c r="R64" s="1280"/>
      <c r="S64" s="1280"/>
      <c r="T64" s="148" t="s">
        <v>496</v>
      </c>
      <c r="U64" s="1281" t="s">
        <v>497</v>
      </c>
      <c r="V64" s="1281"/>
    </row>
    <row r="65" spans="1:22">
      <c r="A65" s="1351"/>
      <c r="B65" s="1351"/>
      <c r="C65" s="1351"/>
      <c r="D65" s="1351"/>
      <c r="E65" s="1351"/>
      <c r="F65" s="1351"/>
      <c r="G65" s="1351"/>
      <c r="H65" s="138"/>
      <c r="I65" s="1280" t="s">
        <v>613</v>
      </c>
      <c r="J65" s="1280"/>
      <c r="K65" s="1280"/>
      <c r="L65" s="1281" t="s">
        <v>496</v>
      </c>
      <c r="M65" s="1716" t="s">
        <v>497</v>
      </c>
      <c r="N65" s="1716"/>
      <c r="O65" s="1716"/>
      <c r="P65" s="1716"/>
      <c r="Q65" s="1332" t="s">
        <v>709</v>
      </c>
      <c r="R65" s="1332"/>
      <c r="S65" s="1332"/>
      <c r="T65" s="1332"/>
      <c r="U65" s="1332"/>
      <c r="V65" s="1332"/>
    </row>
    <row r="66" spans="1:22" ht="12.75" customHeight="1">
      <c r="A66" s="1280" t="s">
        <v>3715</v>
      </c>
      <c r="B66" s="1280"/>
      <c r="C66" s="1280"/>
      <c r="D66" s="1280"/>
      <c r="E66" s="1280"/>
      <c r="F66" s="1280"/>
      <c r="G66" s="1280"/>
      <c r="H66" s="138"/>
      <c r="I66" s="1280"/>
      <c r="J66" s="1280"/>
      <c r="K66" s="1280"/>
      <c r="L66" s="1281"/>
      <c r="M66" s="1716"/>
      <c r="N66" s="1716"/>
      <c r="O66" s="1716"/>
      <c r="P66" s="1716"/>
      <c r="Q66" s="1332"/>
      <c r="R66" s="1332"/>
      <c r="S66" s="1332"/>
      <c r="T66" s="1332"/>
      <c r="U66" s="1332"/>
      <c r="V66" s="1332"/>
    </row>
    <row r="67" spans="1:22">
      <c r="A67" s="1280" t="s">
        <v>616</v>
      </c>
      <c r="B67" s="1280"/>
      <c r="C67" s="1280"/>
      <c r="D67" s="1280"/>
      <c r="E67" s="1280"/>
      <c r="F67" s="1280"/>
      <c r="G67" s="1280"/>
      <c r="H67" s="138"/>
    </row>
    <row r="68" spans="1:22">
      <c r="A68" s="1280" t="s">
        <v>618</v>
      </c>
      <c r="B68" s="1280"/>
      <c r="C68" s="1280"/>
      <c r="D68" s="1280"/>
      <c r="E68" s="1280"/>
      <c r="F68" s="1280"/>
      <c r="G68" s="1280"/>
      <c r="H68" s="138"/>
      <c r="I68" s="1717" t="s">
        <v>617</v>
      </c>
      <c r="J68" s="1717"/>
      <c r="K68" s="1717"/>
      <c r="L68" s="1717"/>
      <c r="M68" s="1717"/>
      <c r="N68" s="1717"/>
      <c r="O68" s="1717"/>
      <c r="P68" s="1717"/>
      <c r="Q68" s="1717"/>
      <c r="R68" s="1717"/>
      <c r="S68" s="1717"/>
      <c r="T68" s="1717"/>
      <c r="U68" s="1717"/>
      <c r="V68" s="1717"/>
    </row>
    <row r="69" spans="1:22">
      <c r="A69" s="1332" t="s">
        <v>492</v>
      </c>
      <c r="B69" s="1332"/>
      <c r="C69" s="1332"/>
      <c r="D69" s="1332"/>
      <c r="E69" s="1332"/>
      <c r="F69" s="1332"/>
      <c r="G69" s="1332"/>
      <c r="H69" s="138"/>
      <c r="I69" s="1718" t="s">
        <v>498</v>
      </c>
      <c r="J69" s="1718"/>
      <c r="K69" s="1718"/>
      <c r="L69" s="1718"/>
      <c r="M69" s="1618" t="str">
        <f>(1000*Belarus)&amp;" руб."</f>
        <v>1000 руб.</v>
      </c>
      <c r="N69" s="1618"/>
      <c r="O69" s="1618"/>
      <c r="P69" s="1718" t="s">
        <v>501</v>
      </c>
      <c r="Q69" s="1718"/>
      <c r="R69" s="1718"/>
      <c r="S69" s="1718"/>
      <c r="T69" s="1718"/>
      <c r="U69" s="1618" t="str">
        <f>(200*Belarus)&amp;" руб."</f>
        <v>200 руб.</v>
      </c>
      <c r="V69" s="1618"/>
    </row>
    <row r="70" spans="1:22">
      <c r="A70" s="1332"/>
      <c r="B70" s="1332"/>
      <c r="C70" s="1332"/>
      <c r="D70" s="1332"/>
      <c r="E70" s="1332"/>
      <c r="F70" s="1332"/>
      <c r="G70" s="1332"/>
      <c r="H70" s="138"/>
    </row>
    <row r="71" spans="1:22">
      <c r="H71" s="138"/>
    </row>
    <row r="72" spans="1:22">
      <c r="H72" s="138"/>
    </row>
    <row r="75" spans="1:22" ht="12.75" customHeight="1">
      <c r="A75" s="1595" t="s">
        <v>508</v>
      </c>
      <c r="B75" s="1595"/>
      <c r="C75" s="1595"/>
      <c r="D75" s="1595"/>
      <c r="E75" s="1307" t="s">
        <v>320</v>
      </c>
      <c r="F75" s="1309"/>
      <c r="G75" s="1339" t="s">
        <v>321</v>
      </c>
      <c r="H75" s="1339"/>
      <c r="I75" s="1339"/>
      <c r="J75" s="1339"/>
      <c r="K75" s="1339" t="s">
        <v>619</v>
      </c>
      <c r="L75" s="1339" t="s">
        <v>323</v>
      </c>
      <c r="M75" s="1339" t="s">
        <v>620</v>
      </c>
      <c r="N75" s="1340" t="s">
        <v>5344</v>
      </c>
      <c r="O75" s="1340" t="s">
        <v>334</v>
      </c>
      <c r="P75" s="1340" t="s">
        <v>335</v>
      </c>
      <c r="Q75" s="1595" t="s">
        <v>325</v>
      </c>
      <c r="R75" s="1595"/>
      <c r="S75" s="1595"/>
      <c r="T75" s="1595"/>
      <c r="U75" s="1595"/>
      <c r="V75" s="1595"/>
    </row>
    <row r="76" spans="1:22" ht="12.75" customHeight="1">
      <c r="A76" s="1595"/>
      <c r="B76" s="1595"/>
      <c r="C76" s="1595"/>
      <c r="D76" s="1595"/>
      <c r="E76" s="1310"/>
      <c r="F76" s="1312"/>
      <c r="G76" s="1339"/>
      <c r="H76" s="1339"/>
      <c r="I76" s="1339"/>
      <c r="J76" s="1339"/>
      <c r="K76" s="1719"/>
      <c r="L76" s="1719"/>
      <c r="M76" s="1719"/>
      <c r="N76" s="1341"/>
      <c r="O76" s="1341"/>
      <c r="P76" s="1341"/>
      <c r="Q76" s="145">
        <v>0.8</v>
      </c>
      <c r="R76" s="145">
        <v>0.7</v>
      </c>
      <c r="S76" s="145">
        <v>0.65</v>
      </c>
      <c r="T76" s="1595">
        <v>0.45</v>
      </c>
      <c r="U76" s="1595"/>
      <c r="V76" s="145">
        <v>0.4</v>
      </c>
    </row>
    <row r="77" spans="1:22">
      <c r="A77" s="1582" t="s">
        <v>518</v>
      </c>
      <c r="B77" s="1582"/>
      <c r="C77" s="1582"/>
      <c r="D77" s="1582"/>
      <c r="E77" s="1597">
        <v>0</v>
      </c>
      <c r="F77" s="1599"/>
      <c r="G77" s="1387">
        <v>0</v>
      </c>
      <c r="H77" s="1387"/>
      <c r="I77" s="1387"/>
      <c r="J77" s="1387"/>
      <c r="K77" s="1720">
        <v>0</v>
      </c>
      <c r="L77" s="1720">
        <v>0</v>
      </c>
      <c r="M77" s="1720">
        <v>0</v>
      </c>
      <c r="N77" s="790">
        <v>0</v>
      </c>
      <c r="O77" s="790">
        <v>0</v>
      </c>
      <c r="P77" s="790">
        <v>0</v>
      </c>
      <c r="Q77" s="133" t="s">
        <v>369</v>
      </c>
      <c r="R77" s="133">
        <v>0</v>
      </c>
      <c r="S77" s="133">
        <v>0</v>
      </c>
      <c r="T77" s="1387">
        <v>0</v>
      </c>
      <c r="U77" s="1387"/>
      <c r="V77" s="133" t="s">
        <v>369</v>
      </c>
    </row>
    <row r="78" spans="1:22">
      <c r="A78" s="1582" t="s">
        <v>520</v>
      </c>
      <c r="B78" s="1582"/>
      <c r="C78" s="1582"/>
      <c r="D78" s="1582"/>
      <c r="E78" s="1603"/>
      <c r="F78" s="1605"/>
      <c r="G78" s="1387"/>
      <c r="H78" s="1387"/>
      <c r="I78" s="1387"/>
      <c r="J78" s="1387"/>
      <c r="K78" s="1387"/>
      <c r="L78" s="1387"/>
      <c r="M78" s="1387"/>
      <c r="N78" s="790">
        <v>0</v>
      </c>
      <c r="O78" s="790">
        <v>0</v>
      </c>
      <c r="P78" s="790">
        <v>0</v>
      </c>
      <c r="Q78" s="133">
        <v>0</v>
      </c>
      <c r="R78" s="133">
        <v>0</v>
      </c>
      <c r="S78" s="133">
        <v>0</v>
      </c>
      <c r="T78" s="1387">
        <v>0</v>
      </c>
      <c r="U78" s="1387"/>
      <c r="V78" s="133">
        <v>0</v>
      </c>
    </row>
    <row r="79" spans="1:22">
      <c r="A79" s="1582" t="s">
        <v>752</v>
      </c>
      <c r="B79" s="1582"/>
      <c r="C79" s="1582"/>
      <c r="D79" s="1582"/>
      <c r="E79" s="1721">
        <v>0</v>
      </c>
      <c r="F79" s="1721"/>
      <c r="G79" s="1721"/>
      <c r="H79" s="1721"/>
      <c r="I79" s="1721"/>
      <c r="J79" s="1721"/>
      <c r="K79" s="1721"/>
      <c r="L79" s="1721"/>
      <c r="M79" s="1721"/>
      <c r="N79" s="1721"/>
      <c r="O79" s="1721"/>
      <c r="P79" s="1721"/>
      <c r="Q79" s="1721"/>
      <c r="R79" s="1721"/>
      <c r="S79" s="1721"/>
      <c r="T79" s="1721"/>
      <c r="U79" s="1721"/>
      <c r="V79" s="1721"/>
    </row>
    <row r="80" spans="1:22">
      <c r="A80" s="1582" t="s">
        <v>666</v>
      </c>
      <c r="B80" s="1582"/>
      <c r="C80" s="1582"/>
      <c r="D80" s="1582"/>
      <c r="E80" s="1721">
        <v>0</v>
      </c>
      <c r="F80" s="1721"/>
      <c r="G80" s="1721"/>
      <c r="H80" s="1721"/>
      <c r="I80" s="1721"/>
      <c r="J80" s="1721"/>
      <c r="K80" s="1721"/>
      <c r="L80" s="1721"/>
      <c r="M80" s="1721"/>
      <c r="N80" s="1721"/>
      <c r="O80" s="1721"/>
      <c r="P80" s="1721"/>
      <c r="Q80" s="1721"/>
      <c r="R80" s="1721"/>
      <c r="S80" s="1721"/>
      <c r="T80" s="1721"/>
      <c r="U80" s="1721"/>
      <c r="V80" s="1721"/>
    </row>
    <row r="82" spans="2:8">
      <c r="B82" s="140"/>
    </row>
    <row r="85" spans="2:8">
      <c r="H85" s="140"/>
    </row>
    <row r="88" spans="2:8">
      <c r="B88" s="140"/>
    </row>
    <row r="95" spans="2:8" ht="12.75" customHeight="1"/>
    <row r="98" spans="8:8">
      <c r="H98" s="138"/>
    </row>
    <row r="99" spans="8:8">
      <c r="H99" s="138"/>
    </row>
  </sheetData>
  <sheetProtection selectLockedCells="1" selectUnlockedCells="1"/>
  <mergeCells count="214">
    <mergeCell ref="G77:J78"/>
    <mergeCell ref="L77:L78"/>
    <mergeCell ref="A77:D77"/>
    <mergeCell ref="E79:V79"/>
    <mergeCell ref="E80:V80"/>
    <mergeCell ref="A78:D78"/>
    <mergeCell ref="A79:D79"/>
    <mergeCell ref="A80:D80"/>
    <mergeCell ref="E77:F78"/>
    <mergeCell ref="U69:V69"/>
    <mergeCell ref="M75:M76"/>
    <mergeCell ref="M77:M78"/>
    <mergeCell ref="K75:K76"/>
    <mergeCell ref="K77:K78"/>
    <mergeCell ref="T76:U76"/>
    <mergeCell ref="T77:U77"/>
    <mergeCell ref="T78:U78"/>
    <mergeCell ref="Q75:V75"/>
    <mergeCell ref="O75:O76"/>
    <mergeCell ref="P75:P76"/>
    <mergeCell ref="A68:G68"/>
    <mergeCell ref="A69:G70"/>
    <mergeCell ref="E75:F76"/>
    <mergeCell ref="L75:L76"/>
    <mergeCell ref="A75:D76"/>
    <mergeCell ref="N75:N76"/>
    <mergeCell ref="G75:J76"/>
    <mergeCell ref="P69:T69"/>
    <mergeCell ref="A66:G66"/>
    <mergeCell ref="I68:V68"/>
    <mergeCell ref="A67:G67"/>
    <mergeCell ref="I69:L69"/>
    <mergeCell ref="M69:O69"/>
    <mergeCell ref="U64:V64"/>
    <mergeCell ref="I65:K66"/>
    <mergeCell ref="L65:L66"/>
    <mergeCell ref="M65:P66"/>
    <mergeCell ref="Q65:V66"/>
    <mergeCell ref="A64:G65"/>
    <mergeCell ref="I62:K62"/>
    <mergeCell ref="Q62:S62"/>
    <mergeCell ref="I63:K63"/>
    <mergeCell ref="Q63:S63"/>
    <mergeCell ref="I64:K64"/>
    <mergeCell ref="Q64:S64"/>
    <mergeCell ref="A63:G63"/>
    <mergeCell ref="A56:G56"/>
    <mergeCell ref="I60:K60"/>
    <mergeCell ref="M60:P60"/>
    <mergeCell ref="Q60:S60"/>
    <mergeCell ref="U60:V60"/>
    <mergeCell ref="A59:G59"/>
    <mergeCell ref="A57:G58"/>
    <mergeCell ref="A60:G62"/>
    <mergeCell ref="U61:V63"/>
    <mergeCell ref="M61:P64"/>
    <mergeCell ref="A50:G50"/>
    <mergeCell ref="A51:G51"/>
    <mergeCell ref="A52:G52"/>
    <mergeCell ref="I53:T53"/>
    <mergeCell ref="U53:V53"/>
    <mergeCell ref="A53:G55"/>
    <mergeCell ref="I54:V54"/>
    <mergeCell ref="I52:T52"/>
    <mergeCell ref="U52:V52"/>
    <mergeCell ref="I50:T50"/>
    <mergeCell ref="A47:E47"/>
    <mergeCell ref="F47:G47"/>
    <mergeCell ref="A48:E48"/>
    <mergeCell ref="F48:G48"/>
    <mergeCell ref="A49:E49"/>
    <mergeCell ref="F49:G49"/>
    <mergeCell ref="A45:E45"/>
    <mergeCell ref="F45:G45"/>
    <mergeCell ref="I43:T43"/>
    <mergeCell ref="U43:V43"/>
    <mergeCell ref="A46:E46"/>
    <mergeCell ref="F46:G46"/>
    <mergeCell ref="I46:T46"/>
    <mergeCell ref="U46:V46"/>
    <mergeCell ref="U41:V41"/>
    <mergeCell ref="A44:E44"/>
    <mergeCell ref="F44:G44"/>
    <mergeCell ref="I44:T44"/>
    <mergeCell ref="U44:V44"/>
    <mergeCell ref="A42:E42"/>
    <mergeCell ref="F42:G42"/>
    <mergeCell ref="A43:E43"/>
    <mergeCell ref="F43:G43"/>
    <mergeCell ref="U42:V42"/>
    <mergeCell ref="A39:E39"/>
    <mergeCell ref="F39:G39"/>
    <mergeCell ref="A40:E40"/>
    <mergeCell ref="F40:G40"/>
    <mergeCell ref="A41:E41"/>
    <mergeCell ref="F41:G41"/>
    <mergeCell ref="I39:T39"/>
    <mergeCell ref="U39:V39"/>
    <mergeCell ref="I41:T41"/>
    <mergeCell ref="A37:E37"/>
    <mergeCell ref="F37:G37"/>
    <mergeCell ref="I37:T37"/>
    <mergeCell ref="U37:V37"/>
    <mergeCell ref="A38:E38"/>
    <mergeCell ref="F38:G38"/>
    <mergeCell ref="I38:T38"/>
    <mergeCell ref="U38:V38"/>
    <mergeCell ref="A35:E35"/>
    <mergeCell ref="F35:G35"/>
    <mergeCell ref="A36:E36"/>
    <mergeCell ref="F36:G36"/>
    <mergeCell ref="I36:T36"/>
    <mergeCell ref="U36:V36"/>
    <mergeCell ref="A32:E32"/>
    <mergeCell ref="F32:G32"/>
    <mergeCell ref="I32:T32"/>
    <mergeCell ref="U32:V32"/>
    <mergeCell ref="A33:E34"/>
    <mergeCell ref="F33:G34"/>
    <mergeCell ref="I33:T33"/>
    <mergeCell ref="U33:V33"/>
    <mergeCell ref="I34:T35"/>
    <mergeCell ref="U34:V35"/>
    <mergeCell ref="A26:V26"/>
    <mergeCell ref="A27:V27"/>
    <mergeCell ref="A28:B29"/>
    <mergeCell ref="C28:D29"/>
    <mergeCell ref="E28:R28"/>
    <mergeCell ref="S28:V30"/>
    <mergeCell ref="A30:B30"/>
    <mergeCell ref="C30:D30"/>
    <mergeCell ref="A24:B24"/>
    <mergeCell ref="R24:S24"/>
    <mergeCell ref="T24:V24"/>
    <mergeCell ref="A25:B25"/>
    <mergeCell ref="R25:S25"/>
    <mergeCell ref="T25:V25"/>
    <mergeCell ref="A22:B22"/>
    <mergeCell ref="R22:S22"/>
    <mergeCell ref="T22:V22"/>
    <mergeCell ref="A23:B23"/>
    <mergeCell ref="R23:S23"/>
    <mergeCell ref="T23:V23"/>
    <mergeCell ref="A20:B20"/>
    <mergeCell ref="R20:S20"/>
    <mergeCell ref="T20:V20"/>
    <mergeCell ref="A21:B21"/>
    <mergeCell ref="R21:S21"/>
    <mergeCell ref="T21:V21"/>
    <mergeCell ref="C13:D13"/>
    <mergeCell ref="C14:D14"/>
    <mergeCell ref="C16:D16"/>
    <mergeCell ref="C17:D17"/>
    <mergeCell ref="A18:V18"/>
    <mergeCell ref="A19:B19"/>
    <mergeCell ref="E19:V19"/>
    <mergeCell ref="Q9:Q10"/>
    <mergeCell ref="V9:V10"/>
    <mergeCell ref="A10:D10"/>
    <mergeCell ref="C12:D12"/>
    <mergeCell ref="K9:K10"/>
    <mergeCell ref="L9:L10"/>
    <mergeCell ref="M9:M10"/>
    <mergeCell ref="O9:O10"/>
    <mergeCell ref="F9:F10"/>
    <mergeCell ref="G9:G10"/>
    <mergeCell ref="Q7:V7"/>
    <mergeCell ref="A8:D8"/>
    <mergeCell ref="T8:U8"/>
    <mergeCell ref="E9:E10"/>
    <mergeCell ref="Q5:V5"/>
    <mergeCell ref="Q6:V6"/>
    <mergeCell ref="R9:R10"/>
    <mergeCell ref="S9:S10"/>
    <mergeCell ref="T9:U9"/>
    <mergeCell ref="O5:P5"/>
    <mergeCell ref="U2:V2"/>
    <mergeCell ref="U3:V3"/>
    <mergeCell ref="A4:A6"/>
    <mergeCell ref="B4:B6"/>
    <mergeCell ref="C4:D6"/>
    <mergeCell ref="E4:V4"/>
    <mergeCell ref="L5:L6"/>
    <mergeCell ref="M5:M6"/>
    <mergeCell ref="N5:N6"/>
    <mergeCell ref="E5:F5"/>
    <mergeCell ref="G5:J5"/>
    <mergeCell ref="I9:I10"/>
    <mergeCell ref="J9:J10"/>
    <mergeCell ref="K5:K6"/>
    <mergeCell ref="A1:D1"/>
    <mergeCell ref="A2:P2"/>
    <mergeCell ref="A7:D7"/>
    <mergeCell ref="P9:P10"/>
    <mergeCell ref="H9:H10"/>
    <mergeCell ref="N9:N10"/>
    <mergeCell ref="I48:T48"/>
    <mergeCell ref="U48:V48"/>
    <mergeCell ref="I49:T49"/>
    <mergeCell ref="I58:P59"/>
    <mergeCell ref="Q58:V59"/>
    <mergeCell ref="I61:K61"/>
    <mergeCell ref="Q61:S61"/>
    <mergeCell ref="U49:V49"/>
    <mergeCell ref="I40:T40"/>
    <mergeCell ref="U40:V40"/>
    <mergeCell ref="U50:V50"/>
    <mergeCell ref="I51:T51"/>
    <mergeCell ref="U51:V51"/>
    <mergeCell ref="I45:T45"/>
    <mergeCell ref="U45:V45"/>
    <mergeCell ref="I47:T47"/>
    <mergeCell ref="U47:V47"/>
    <mergeCell ref="I42:T42"/>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53" firstPageNumber="0" orientation="landscape" horizontalDpi="300" verticalDpi="300" r:id="rId1"/>
  <headerFooter scaleWithDoc="0">
    <oddHeader xml:space="preserve">&amp;L&amp;G&amp;R&amp;5Центр поддержки клиентов Grand Line: +7 (495) 748-38-38
cайт: www.grandline.ru   </oddHeader>
    <oddFooter>&amp;R&amp;5Страница 6</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69696"/>
    <pageSetUpPr fitToPage="1"/>
  </sheetPr>
  <dimension ref="A1:AE76"/>
  <sheetViews>
    <sheetView zoomScale="70" zoomScaleNormal="70" workbookViewId="0">
      <selection activeCell="A2" sqref="A2:U2"/>
    </sheetView>
  </sheetViews>
  <sheetFormatPr defaultRowHeight="12.75"/>
  <cols>
    <col min="1" max="1" width="12.28515625" style="54" customWidth="1"/>
    <col min="2" max="2" width="24.28515625" style="190" customWidth="1"/>
    <col min="3" max="3" width="6.140625" style="190" customWidth="1"/>
    <col min="4" max="4" width="11.85546875" style="190" customWidth="1"/>
    <col min="5" max="5" width="6.42578125" style="190" customWidth="1"/>
    <col min="6" max="8" width="7.7109375" style="190" customWidth="1"/>
    <col min="9" max="9" width="6.7109375" style="190" customWidth="1"/>
    <col min="10" max="10" width="12.140625" style="190" customWidth="1"/>
    <col min="11" max="11" width="18.5703125" style="190" customWidth="1"/>
    <col min="12" max="12" width="9.140625" style="190" customWidth="1"/>
    <col min="13" max="14" width="9.7109375" style="190" customWidth="1"/>
    <col min="15" max="15" width="10.28515625" style="190" customWidth="1"/>
    <col min="16" max="16" width="2" style="54" customWidth="1"/>
    <col min="17" max="17" width="19.7109375" style="54" customWidth="1"/>
    <col min="18" max="18" width="22.5703125" style="54" customWidth="1"/>
    <col min="19" max="19" width="9" style="54" customWidth="1"/>
    <col min="20" max="20" width="8.42578125" style="54" customWidth="1"/>
    <col min="21" max="21" width="6.42578125" style="54" customWidth="1"/>
    <col min="22" max="22" width="12" style="54" customWidth="1"/>
    <col min="23" max="23" width="11.85546875" style="54" customWidth="1"/>
    <col min="24" max="24" width="8.42578125" style="54" customWidth="1"/>
    <col min="25" max="25" width="8.28515625" style="54" customWidth="1"/>
    <col min="26" max="26" width="9.42578125" style="54" customWidth="1"/>
    <col min="27" max="16384" width="9.140625" style="54"/>
  </cols>
  <sheetData>
    <row r="1" spans="1:26">
      <c r="A1" s="1666" t="s">
        <v>312</v>
      </c>
      <c r="B1" s="1666"/>
      <c r="C1" s="1666"/>
      <c r="D1" s="1666"/>
      <c r="E1" s="1"/>
      <c r="F1" s="1"/>
      <c r="G1" s="1"/>
      <c r="H1" s="1"/>
      <c r="J1" s="1"/>
      <c r="K1" s="1"/>
      <c r="L1" s="1"/>
      <c r="M1" s="1"/>
      <c r="N1" s="1"/>
      <c r="O1" s="1"/>
      <c r="P1" s="46"/>
      <c r="Q1" s="46"/>
      <c r="R1" s="46"/>
      <c r="S1" s="46"/>
      <c r="T1" s="46"/>
    </row>
    <row r="2" spans="1:26" ht="19.5" customHeight="1" thickBot="1">
      <c r="A2" s="1763" t="s">
        <v>803</v>
      </c>
      <c r="B2" s="1763"/>
      <c r="C2" s="1763"/>
      <c r="D2" s="1763"/>
      <c r="E2" s="1763"/>
      <c r="F2" s="1763"/>
      <c r="G2" s="1763"/>
      <c r="H2" s="1763"/>
      <c r="I2" s="1763"/>
      <c r="J2" s="1763"/>
      <c r="K2" s="1763"/>
      <c r="L2" s="1763"/>
      <c r="M2" s="1763"/>
      <c r="N2" s="1763"/>
      <c r="O2" s="1763"/>
      <c r="P2" s="1763"/>
      <c r="Q2" s="1763"/>
      <c r="R2" s="1763"/>
      <c r="S2" s="1763"/>
      <c r="T2" s="1763"/>
      <c r="U2" s="1763"/>
      <c r="V2" s="740"/>
      <c r="W2" s="740"/>
      <c r="X2" s="737" t="s">
        <v>313</v>
      </c>
      <c r="Y2" s="1492">
        <v>43301</v>
      </c>
      <c r="Z2" s="1492"/>
    </row>
    <row r="3" spans="1:26" ht="12.75" customHeight="1">
      <c r="B3" s="238"/>
      <c r="C3" s="238"/>
      <c r="D3" s="238"/>
      <c r="E3" s="238"/>
      <c r="F3" s="238"/>
      <c r="G3" s="238"/>
      <c r="H3" s="238"/>
      <c r="I3" s="238"/>
      <c r="J3" s="238"/>
      <c r="K3" s="238"/>
      <c r="M3" s="54"/>
      <c r="N3" s="1679"/>
      <c r="O3" s="1679"/>
      <c r="Q3" s="240"/>
      <c r="R3" s="240"/>
      <c r="S3" s="240"/>
      <c r="T3" s="240"/>
      <c r="U3" s="240"/>
      <c r="V3" s="240"/>
      <c r="X3" s="241" t="s">
        <v>804</v>
      </c>
      <c r="Y3" s="1679">
        <v>43301</v>
      </c>
      <c r="Z3" s="1679"/>
    </row>
    <row r="4" spans="1:26" ht="14.25" customHeight="1">
      <c r="A4" s="1764"/>
      <c r="B4" s="1491" t="s">
        <v>805</v>
      </c>
      <c r="C4" s="1491"/>
      <c r="D4" s="1491"/>
      <c r="E4" s="1491"/>
      <c r="F4" s="1491"/>
      <c r="G4" s="1491"/>
      <c r="H4" s="1491"/>
      <c r="I4" s="1491"/>
      <c r="J4" s="1491"/>
      <c r="K4" s="1491"/>
      <c r="L4" s="1491"/>
      <c r="M4" s="1491"/>
      <c r="N4" s="1491"/>
      <c r="O4" s="1491"/>
      <c r="Q4" s="1452" t="s">
        <v>806</v>
      </c>
      <c r="R4" s="1477"/>
      <c r="S4" s="1477"/>
      <c r="T4" s="1477"/>
      <c r="U4" s="1477"/>
      <c r="V4" s="1477"/>
      <c r="W4" s="1477"/>
      <c r="X4" s="1477"/>
      <c r="Y4" s="1477"/>
      <c r="Z4" s="1478"/>
    </row>
    <row r="5" spans="1:26" ht="25.5" customHeight="1">
      <c r="A5" s="1764"/>
      <c r="B5" s="683" t="s">
        <v>807</v>
      </c>
      <c r="C5" s="1491" t="s">
        <v>284</v>
      </c>
      <c r="D5" s="1491"/>
      <c r="E5" s="1491"/>
      <c r="F5" s="1491"/>
      <c r="G5" s="1491"/>
      <c r="H5" s="1491"/>
      <c r="I5" s="1491"/>
      <c r="J5" s="126" t="s">
        <v>808</v>
      </c>
      <c r="K5" s="126" t="s">
        <v>809</v>
      </c>
      <c r="L5" s="126" t="s">
        <v>810</v>
      </c>
      <c r="M5" s="126" t="s">
        <v>3590</v>
      </c>
      <c r="N5" s="126" t="s">
        <v>687</v>
      </c>
      <c r="O5" s="126" t="s">
        <v>811</v>
      </c>
      <c r="Q5" s="1491" t="s">
        <v>307</v>
      </c>
      <c r="R5" s="1491"/>
      <c r="S5" s="1491" t="s">
        <v>812</v>
      </c>
      <c r="T5" s="1491"/>
      <c r="U5" s="1491"/>
      <c r="V5" s="1491" t="s">
        <v>284</v>
      </c>
      <c r="W5" s="1491"/>
      <c r="X5" s="1491" t="s">
        <v>622</v>
      </c>
      <c r="Y5" s="1491" t="s">
        <v>422</v>
      </c>
      <c r="Z5" s="1491"/>
    </row>
    <row r="6" spans="1:26" ht="17.25" customHeight="1">
      <c r="A6" s="1764"/>
      <c r="B6" s="1398" t="s">
        <v>3591</v>
      </c>
      <c r="C6" s="1398"/>
      <c r="D6" s="1398"/>
      <c r="E6" s="1398"/>
      <c r="F6" s="1398"/>
      <c r="G6" s="1398"/>
      <c r="H6" s="1398"/>
      <c r="I6" s="1398"/>
      <c r="J6" s="1398"/>
      <c r="K6" s="1398"/>
      <c r="L6" s="1398"/>
      <c r="M6" s="1398"/>
      <c r="N6" s="1398"/>
      <c r="O6" s="1398"/>
      <c r="Q6" s="1491"/>
      <c r="R6" s="1491"/>
      <c r="S6" s="1491"/>
      <c r="T6" s="1491"/>
      <c r="U6" s="1491"/>
      <c r="V6" s="1491"/>
      <c r="W6" s="1491"/>
      <c r="X6" s="1491"/>
      <c r="Y6" s="107" t="s">
        <v>813</v>
      </c>
      <c r="Z6" s="107" t="s">
        <v>814</v>
      </c>
    </row>
    <row r="7" spans="1:26" ht="27" customHeight="1">
      <c r="A7" s="1764"/>
      <c r="B7" s="279" t="s">
        <v>3592</v>
      </c>
      <c r="C7" s="1530" t="s">
        <v>815</v>
      </c>
      <c r="D7" s="1530"/>
      <c r="E7" s="1530"/>
      <c r="F7" s="1530"/>
      <c r="G7" s="1530"/>
      <c r="H7" s="1530"/>
      <c r="I7" s="1530"/>
      <c r="J7" s="1762" t="s">
        <v>816</v>
      </c>
      <c r="K7" s="1530">
        <v>20</v>
      </c>
      <c r="L7" s="1530" t="s">
        <v>817</v>
      </c>
      <c r="M7" s="101">
        <v>1</v>
      </c>
      <c r="N7" s="1754">
        <f>ROUND(273*Belarus*(1-G54),2)</f>
        <v>273</v>
      </c>
      <c r="O7" s="1285">
        <f>N7*3</f>
        <v>819</v>
      </c>
      <c r="Q7" s="1409" t="s">
        <v>818</v>
      </c>
      <c r="R7" s="1411"/>
      <c r="S7" s="1755" t="s">
        <v>819</v>
      </c>
      <c r="T7" s="1759"/>
      <c r="U7" s="1756"/>
      <c r="V7" s="1345" t="s">
        <v>538</v>
      </c>
      <c r="W7" s="1347"/>
      <c r="X7" s="44" t="s">
        <v>820</v>
      </c>
      <c r="Y7" s="679">
        <f>ROUND(572.14*Belarus*(1-H71),2)</f>
        <v>572.14</v>
      </c>
      <c r="Z7" s="235">
        <f>Y7*3</f>
        <v>1716.42</v>
      </c>
    </row>
    <row r="8" spans="1:26" ht="27" customHeight="1">
      <c r="A8" s="1764"/>
      <c r="B8" s="279" t="s">
        <v>3593</v>
      </c>
      <c r="C8" s="1530" t="s">
        <v>815</v>
      </c>
      <c r="D8" s="1530"/>
      <c r="E8" s="1530"/>
      <c r="F8" s="1530"/>
      <c r="G8" s="1530"/>
      <c r="H8" s="1530"/>
      <c r="I8" s="1530"/>
      <c r="J8" s="1762"/>
      <c r="K8" s="1530"/>
      <c r="L8" s="1530"/>
      <c r="M8" s="101">
        <v>2</v>
      </c>
      <c r="N8" s="1754"/>
      <c r="O8" s="1285"/>
      <c r="Q8" s="1351" t="s">
        <v>3594</v>
      </c>
      <c r="R8" s="1351"/>
      <c r="S8" s="1530" t="s">
        <v>821</v>
      </c>
      <c r="T8" s="1530"/>
      <c r="U8" s="1530"/>
      <c r="V8" s="1530" t="s">
        <v>538</v>
      </c>
      <c r="W8" s="1530"/>
      <c r="X8" s="1530" t="s">
        <v>820</v>
      </c>
      <c r="Y8" s="1760">
        <f>ROUND(572.14*Belarus*(1-H71),2)</f>
        <v>572.14</v>
      </c>
      <c r="Z8" s="1761">
        <f>Y8*5</f>
        <v>2860.7</v>
      </c>
    </row>
    <row r="9" spans="1:26" ht="12.75" customHeight="1">
      <c r="A9" s="1764"/>
      <c r="B9" s="1398" t="s">
        <v>834</v>
      </c>
      <c r="C9" s="1398"/>
      <c r="D9" s="1398"/>
      <c r="E9" s="1398"/>
      <c r="F9" s="1398"/>
      <c r="G9" s="1398"/>
      <c r="H9" s="1398"/>
      <c r="I9" s="1398"/>
      <c r="J9" s="1398"/>
      <c r="K9" s="1398"/>
      <c r="L9" s="1398"/>
      <c r="M9" s="1398"/>
      <c r="N9" s="1398"/>
      <c r="O9" s="1398"/>
      <c r="Q9" s="1351"/>
      <c r="R9" s="1351"/>
      <c r="S9" s="1530"/>
      <c r="T9" s="1530"/>
      <c r="U9" s="1530"/>
      <c r="V9" s="1530"/>
      <c r="W9" s="1530"/>
      <c r="X9" s="1530"/>
      <c r="Y9" s="1760"/>
      <c r="Z9" s="1761"/>
    </row>
    <row r="10" spans="1:26" ht="27" customHeight="1">
      <c r="A10" s="1764"/>
      <c r="B10" s="279" t="s">
        <v>835</v>
      </c>
      <c r="C10" s="1530" t="s">
        <v>4491</v>
      </c>
      <c r="D10" s="1530"/>
      <c r="E10" s="1530"/>
      <c r="F10" s="1530"/>
      <c r="G10" s="1530"/>
      <c r="H10" s="1530"/>
      <c r="I10" s="1530"/>
      <c r="J10" s="1762" t="s">
        <v>836</v>
      </c>
      <c r="K10" s="1386">
        <v>30</v>
      </c>
      <c r="L10" s="1530" t="s">
        <v>817</v>
      </c>
      <c r="M10" s="103">
        <v>3</v>
      </c>
      <c r="N10" s="679">
        <f>ROUND(432.73*Belarus*(1-G57),2)</f>
        <v>432.73</v>
      </c>
      <c r="O10" s="235">
        <f>N10*3</f>
        <v>1298.19</v>
      </c>
      <c r="Q10" s="1351" t="s">
        <v>825</v>
      </c>
      <c r="R10" s="1351"/>
      <c r="S10" s="1530" t="s">
        <v>4093</v>
      </c>
      <c r="T10" s="1530"/>
      <c r="U10" s="1530"/>
      <c r="V10" s="1530" t="s">
        <v>538</v>
      </c>
      <c r="W10" s="1530"/>
      <c r="X10" s="103" t="s">
        <v>820</v>
      </c>
      <c r="Y10" s="769">
        <f>ROUND(496*Belarus*(1-H71),2)</f>
        <v>496</v>
      </c>
      <c r="Z10" s="236">
        <f>Y10*10</f>
        <v>4960</v>
      </c>
    </row>
    <row r="11" spans="1:26" ht="31.5" customHeight="1">
      <c r="A11" s="1764"/>
      <c r="B11" s="279" t="s">
        <v>838</v>
      </c>
      <c r="C11" s="1530" t="s">
        <v>4492</v>
      </c>
      <c r="D11" s="1530"/>
      <c r="E11" s="1530"/>
      <c r="F11" s="1530"/>
      <c r="G11" s="1530"/>
      <c r="H11" s="1530"/>
      <c r="I11" s="1530"/>
      <c r="J11" s="1762"/>
      <c r="K11" s="1386"/>
      <c r="L11" s="1530"/>
      <c r="M11" s="101">
        <v>1</v>
      </c>
      <c r="N11" s="679">
        <f>ROUND(429.12*Belarus*(1-G58),2)</f>
        <v>429.12</v>
      </c>
      <c r="O11" s="235">
        <f>N11*3</f>
        <v>1287.3600000000001</v>
      </c>
      <c r="Q11" s="1452" t="s">
        <v>826</v>
      </c>
      <c r="R11" s="1477"/>
      <c r="S11" s="1477"/>
      <c r="T11" s="1477"/>
      <c r="U11" s="1477"/>
      <c r="V11" s="1477"/>
      <c r="W11" s="1477"/>
      <c r="X11" s="1477"/>
      <c r="Y11" s="1477"/>
      <c r="Z11" s="1478"/>
    </row>
    <row r="12" spans="1:26" ht="19.5" customHeight="1">
      <c r="A12" s="1764"/>
      <c r="B12" s="279" t="s">
        <v>840</v>
      </c>
      <c r="C12" s="1530" t="s">
        <v>4490</v>
      </c>
      <c r="D12" s="1530"/>
      <c r="E12" s="1530"/>
      <c r="F12" s="1530"/>
      <c r="G12" s="1530"/>
      <c r="H12" s="1530"/>
      <c r="I12" s="1530"/>
      <c r="J12" s="1762"/>
      <c r="K12" s="1386"/>
      <c r="L12" s="1530"/>
      <c r="M12" s="101">
        <v>2</v>
      </c>
      <c r="N12" s="679">
        <f>ROUND(429.12*Belarus*(1-G59),2)</f>
        <v>429.12</v>
      </c>
      <c r="O12" s="235">
        <f>N12*3</f>
        <v>1287.3600000000001</v>
      </c>
      <c r="Q12" s="1351" t="s">
        <v>830</v>
      </c>
      <c r="R12" s="1351"/>
      <c r="S12" s="1530" t="s">
        <v>4094</v>
      </c>
      <c r="T12" s="1530"/>
      <c r="U12" s="1530"/>
      <c r="V12" s="1530" t="s">
        <v>369</v>
      </c>
      <c r="W12" s="1530"/>
      <c r="X12" s="1530" t="s">
        <v>831</v>
      </c>
      <c r="Y12" s="1724">
        <f>ROUND(190*Belarus*(1-H71),2)</f>
        <v>190</v>
      </c>
      <c r="Z12" s="1675">
        <f>Y12*15</f>
        <v>2850</v>
      </c>
    </row>
    <row r="13" spans="1:26" ht="19.5" customHeight="1">
      <c r="A13" s="1764"/>
      <c r="B13" s="279" t="s">
        <v>841</v>
      </c>
      <c r="C13" s="1530" t="s">
        <v>842</v>
      </c>
      <c r="D13" s="1530"/>
      <c r="E13" s="1530"/>
      <c r="F13" s="1530"/>
      <c r="G13" s="1530"/>
      <c r="H13" s="1530"/>
      <c r="I13" s="1530"/>
      <c r="J13" s="1762"/>
      <c r="K13" s="1386"/>
      <c r="L13" s="1530"/>
      <c r="M13" s="101">
        <v>4</v>
      </c>
      <c r="N13" s="679">
        <f>ROUND(473.18*Belarus*(1-G60),2)</f>
        <v>473.18</v>
      </c>
      <c r="O13" s="235">
        <f>N13*3</f>
        <v>1419.54</v>
      </c>
      <c r="Q13" s="1351"/>
      <c r="R13" s="1351"/>
      <c r="S13" s="1530"/>
      <c r="T13" s="1530"/>
      <c r="U13" s="1530"/>
      <c r="V13" s="1530"/>
      <c r="W13" s="1530"/>
      <c r="X13" s="1530"/>
      <c r="Y13" s="1724"/>
      <c r="Z13" s="1675"/>
    </row>
    <row r="14" spans="1:26" ht="27" customHeight="1">
      <c r="A14" s="1764"/>
      <c r="B14" s="279" t="s">
        <v>846</v>
      </c>
      <c r="C14" s="1530" t="s">
        <v>4493</v>
      </c>
      <c r="D14" s="1530"/>
      <c r="E14" s="1530"/>
      <c r="F14" s="1530"/>
      <c r="G14" s="1530"/>
      <c r="H14" s="1530"/>
      <c r="I14" s="1530"/>
      <c r="J14" s="1762"/>
      <c r="K14" s="1386"/>
      <c r="L14" s="1530"/>
      <c r="M14" s="101">
        <v>5</v>
      </c>
      <c r="N14" s="679">
        <f>ROUND(473.18*Belarus*(1-G61),2)</f>
        <v>473.18</v>
      </c>
      <c r="O14" s="235">
        <f>N14*3</f>
        <v>1419.54</v>
      </c>
      <c r="Q14" s="1409" t="s">
        <v>832</v>
      </c>
      <c r="R14" s="1411"/>
      <c r="S14" s="1755" t="s">
        <v>4095</v>
      </c>
      <c r="T14" s="1759"/>
      <c r="U14" s="1756"/>
      <c r="V14" s="1755" t="s">
        <v>833</v>
      </c>
      <c r="W14" s="1756"/>
      <c r="X14" s="103" t="s">
        <v>831</v>
      </c>
      <c r="Y14" s="769">
        <f>ROUND(126*Belarus*(1-H71),2)</f>
        <v>126</v>
      </c>
      <c r="Z14" s="236">
        <f>Y14*40</f>
        <v>5040</v>
      </c>
    </row>
    <row r="15" spans="1:26" ht="20.25" customHeight="1">
      <c r="A15" s="1764"/>
      <c r="B15" s="1398" t="s">
        <v>852</v>
      </c>
      <c r="C15" s="1398"/>
      <c r="D15" s="1398"/>
      <c r="E15" s="1398"/>
      <c r="F15" s="1398"/>
      <c r="G15" s="1398"/>
      <c r="H15" s="1398"/>
      <c r="I15" s="1398"/>
      <c r="J15" s="1398"/>
      <c r="K15" s="1398"/>
      <c r="L15" s="1398"/>
      <c r="M15" s="1398"/>
      <c r="N15" s="1398"/>
      <c r="O15" s="1398"/>
      <c r="Q15" s="1409" t="s">
        <v>6312</v>
      </c>
      <c r="R15" s="1411"/>
      <c r="S15" s="1755" t="s">
        <v>4096</v>
      </c>
      <c r="T15" s="1759"/>
      <c r="U15" s="1756"/>
      <c r="V15" s="1530" t="s">
        <v>833</v>
      </c>
      <c r="W15" s="1530"/>
      <c r="X15" s="103" t="s">
        <v>831</v>
      </c>
      <c r="Y15" s="769">
        <f>ROUND(144*Belarus*(1-H71),2)</f>
        <v>144</v>
      </c>
      <c r="Z15" s="236">
        <f>Y15*25</f>
        <v>3600</v>
      </c>
    </row>
    <row r="16" spans="1:26" ht="27" customHeight="1">
      <c r="A16" s="1764"/>
      <c r="B16" s="279" t="s">
        <v>854</v>
      </c>
      <c r="C16" s="1530" t="s">
        <v>855</v>
      </c>
      <c r="D16" s="1530"/>
      <c r="E16" s="1530"/>
      <c r="F16" s="1530"/>
      <c r="G16" s="1530"/>
      <c r="H16" s="1530"/>
      <c r="I16" s="1530"/>
      <c r="J16" s="1530" t="s">
        <v>856</v>
      </c>
      <c r="K16" s="1530">
        <v>50</v>
      </c>
      <c r="L16" s="1530" t="s">
        <v>817</v>
      </c>
      <c r="M16" s="101">
        <v>1</v>
      </c>
      <c r="N16" s="679">
        <f>ROUND(515.86*Belarus*(1-G62),2)</f>
        <v>515.86</v>
      </c>
      <c r="O16" s="235">
        <f>N16*3</f>
        <v>1547.58</v>
      </c>
      <c r="Q16" s="1351" t="s">
        <v>837</v>
      </c>
      <c r="R16" s="1351"/>
      <c r="S16" s="1530" t="s">
        <v>4097</v>
      </c>
      <c r="T16" s="1530"/>
      <c r="U16" s="1530"/>
      <c r="V16" s="1530" t="s">
        <v>833</v>
      </c>
      <c r="W16" s="1530"/>
      <c r="X16" s="103" t="s">
        <v>831</v>
      </c>
      <c r="Y16" s="679">
        <f>ROUND(85*Belarus*(1-H71),2)</f>
        <v>85</v>
      </c>
      <c r="Z16" s="235">
        <f>Y16*15</f>
        <v>1275</v>
      </c>
    </row>
    <row r="17" spans="1:26" ht="24.75" customHeight="1">
      <c r="A17" s="1764"/>
      <c r="B17" s="279" t="s">
        <v>859</v>
      </c>
      <c r="C17" s="1530" t="s">
        <v>4494</v>
      </c>
      <c r="D17" s="1530"/>
      <c r="E17" s="1530"/>
      <c r="F17" s="1530"/>
      <c r="G17" s="1530"/>
      <c r="H17" s="1530"/>
      <c r="I17" s="1530"/>
      <c r="J17" s="1530"/>
      <c r="K17" s="1530"/>
      <c r="L17" s="1530"/>
      <c r="M17" s="101">
        <v>2</v>
      </c>
      <c r="N17" s="679">
        <f>ROUND(605.4*Belarus*(1-G63),2)</f>
        <v>605.4</v>
      </c>
      <c r="O17" s="235">
        <f>N17*3</f>
        <v>1816.1999999999998</v>
      </c>
      <c r="Q17" s="1351" t="s">
        <v>6313</v>
      </c>
      <c r="R17" s="1351"/>
      <c r="S17" s="1530" t="s">
        <v>4098</v>
      </c>
      <c r="T17" s="1530"/>
      <c r="U17" s="1530"/>
      <c r="V17" s="1530" t="s">
        <v>833</v>
      </c>
      <c r="W17" s="1530"/>
      <c r="X17" s="103" t="s">
        <v>831</v>
      </c>
      <c r="Y17" s="679">
        <f>ROUND(99*Belarus*(1-H71),2)</f>
        <v>99</v>
      </c>
      <c r="Z17" s="235">
        <f>Y17*15</f>
        <v>1485</v>
      </c>
    </row>
    <row r="18" spans="1:26" ht="26.25" customHeight="1">
      <c r="A18" s="1764"/>
      <c r="B18" s="1352" t="s">
        <v>3595</v>
      </c>
      <c r="C18" s="1352"/>
      <c r="D18" s="1352"/>
      <c r="E18" s="1352"/>
      <c r="F18" s="1352"/>
      <c r="G18" s="1352"/>
      <c r="H18" s="1352"/>
      <c r="I18" s="1352"/>
      <c r="J18" s="1352"/>
      <c r="K18" s="1352"/>
      <c r="L18" s="1352"/>
      <c r="M18" s="1352"/>
      <c r="N18" s="1352"/>
      <c r="O18" s="1352"/>
      <c r="Q18" s="1351" t="s">
        <v>839</v>
      </c>
      <c r="R18" s="1351"/>
      <c r="S18" s="1530" t="s">
        <v>4099</v>
      </c>
      <c r="T18" s="1530"/>
      <c r="U18" s="1530"/>
      <c r="V18" s="1530" t="s">
        <v>833</v>
      </c>
      <c r="W18" s="1530"/>
      <c r="X18" s="103" t="s">
        <v>831</v>
      </c>
      <c r="Y18" s="679">
        <f>Z18/15</f>
        <v>59</v>
      </c>
      <c r="Z18" s="235">
        <f>ROUND(885*Belarus*(1-H71),2)</f>
        <v>885</v>
      </c>
    </row>
    <row r="19" spans="1:26" ht="31.5" customHeight="1">
      <c r="A19" s="1764"/>
      <c r="B19" s="122" t="s">
        <v>3596</v>
      </c>
      <c r="C19" s="1530" t="s">
        <v>822</v>
      </c>
      <c r="D19" s="1530"/>
      <c r="E19" s="1530"/>
      <c r="F19" s="1530"/>
      <c r="G19" s="1530"/>
      <c r="H19" s="1530"/>
      <c r="I19" s="1530"/>
      <c r="J19" s="103" t="s">
        <v>823</v>
      </c>
      <c r="K19" s="103">
        <v>30</v>
      </c>
      <c r="L19" s="103" t="s">
        <v>824</v>
      </c>
      <c r="M19" s="101">
        <v>6</v>
      </c>
      <c r="N19" s="679">
        <f>ROUND(294.31*Belarus*(1-G55),2)</f>
        <v>294.31</v>
      </c>
      <c r="O19" s="235">
        <f>N19*2</f>
        <v>588.62</v>
      </c>
      <c r="Q19" s="1452" t="s">
        <v>45</v>
      </c>
      <c r="R19" s="1477"/>
      <c r="S19" s="1477"/>
      <c r="T19" s="1477"/>
      <c r="U19" s="1477"/>
      <c r="V19" s="1477"/>
      <c r="W19" s="1477"/>
      <c r="X19" s="1477"/>
      <c r="Y19" s="1477"/>
      <c r="Z19" s="1478"/>
    </row>
    <row r="20" spans="1:26" ht="27" customHeight="1">
      <c r="A20" s="1764"/>
      <c r="B20" s="1398" t="s">
        <v>3597</v>
      </c>
      <c r="C20" s="1398"/>
      <c r="D20" s="1398"/>
      <c r="E20" s="1398"/>
      <c r="F20" s="1398"/>
      <c r="G20" s="1398"/>
      <c r="H20" s="1398"/>
      <c r="I20" s="1398"/>
      <c r="J20" s="1398"/>
      <c r="K20" s="1398"/>
      <c r="L20" s="1398"/>
      <c r="M20" s="1398"/>
      <c r="N20" s="1398"/>
      <c r="O20" s="1398"/>
      <c r="Q20" s="1409" t="s">
        <v>843</v>
      </c>
      <c r="R20" s="1411"/>
      <c r="S20" s="1755" t="s">
        <v>844</v>
      </c>
      <c r="T20" s="1759"/>
      <c r="U20" s="1756"/>
      <c r="V20" s="1755" t="s">
        <v>833</v>
      </c>
      <c r="W20" s="1756"/>
      <c r="X20" s="103" t="s">
        <v>845</v>
      </c>
      <c r="Y20" s="1757">
        <f>367*Belarus</f>
        <v>367</v>
      </c>
      <c r="Z20" s="1758"/>
    </row>
    <row r="21" spans="1:26" ht="27" customHeight="1">
      <c r="A21" s="1764"/>
      <c r="B21" s="122" t="s">
        <v>827</v>
      </c>
      <c r="C21" s="1530" t="s">
        <v>828</v>
      </c>
      <c r="D21" s="1530"/>
      <c r="E21" s="1530"/>
      <c r="F21" s="1530"/>
      <c r="G21" s="1530"/>
      <c r="H21" s="1530"/>
      <c r="I21" s="1530"/>
      <c r="J21" s="103" t="s">
        <v>823</v>
      </c>
      <c r="K21" s="103">
        <v>50</v>
      </c>
      <c r="L21" s="103" t="s">
        <v>829</v>
      </c>
      <c r="M21" s="101">
        <v>6</v>
      </c>
      <c r="N21" s="679">
        <f>ROUND(480.69*Belarus*(1-G56),2)</f>
        <v>480.69</v>
      </c>
      <c r="O21" s="235">
        <f>N21*2.6</f>
        <v>1249.7940000000001</v>
      </c>
      <c r="Q21" s="1409" t="s">
        <v>847</v>
      </c>
      <c r="R21" s="1411"/>
      <c r="S21" s="1755" t="s">
        <v>848</v>
      </c>
      <c r="T21" s="1759"/>
      <c r="U21" s="1756"/>
      <c r="V21" s="1755" t="s">
        <v>833</v>
      </c>
      <c r="W21" s="1756"/>
      <c r="X21" s="103" t="s">
        <v>845</v>
      </c>
      <c r="Y21" s="1757">
        <f>350*Belarus</f>
        <v>350</v>
      </c>
      <c r="Z21" s="1758"/>
    </row>
    <row r="22" spans="1:26" ht="28.5" customHeight="1">
      <c r="A22" s="1764"/>
      <c r="B22" s="1398" t="s">
        <v>3598</v>
      </c>
      <c r="C22" s="1398"/>
      <c r="D22" s="1398"/>
      <c r="E22" s="1398"/>
      <c r="F22" s="1398"/>
      <c r="G22" s="1398"/>
      <c r="H22" s="1398"/>
      <c r="I22" s="1398"/>
      <c r="J22" s="1398"/>
      <c r="K22" s="1398"/>
      <c r="L22" s="1398"/>
      <c r="M22" s="1398"/>
      <c r="N22" s="1398"/>
      <c r="O22" s="1398"/>
      <c r="Q22" s="1351" t="s">
        <v>849</v>
      </c>
      <c r="R22" s="1351"/>
      <c r="S22" s="1530" t="s">
        <v>850</v>
      </c>
      <c r="T22" s="1530"/>
      <c r="U22" s="1530"/>
      <c r="V22" s="1755" t="s">
        <v>851</v>
      </c>
      <c r="W22" s="1756"/>
      <c r="X22" s="103" t="s">
        <v>845</v>
      </c>
      <c r="Y22" s="1757">
        <f>1050*Belarus</f>
        <v>1050</v>
      </c>
      <c r="Z22" s="1758"/>
    </row>
    <row r="23" spans="1:26" ht="27.75" customHeight="1">
      <c r="A23" s="1764"/>
      <c r="B23" s="122" t="s">
        <v>863</v>
      </c>
      <c r="C23" s="1530" t="s">
        <v>864</v>
      </c>
      <c r="D23" s="1530"/>
      <c r="E23" s="1530"/>
      <c r="F23" s="1530"/>
      <c r="G23" s="1530"/>
      <c r="H23" s="1530"/>
      <c r="I23" s="1530"/>
      <c r="J23" s="103" t="s">
        <v>865</v>
      </c>
      <c r="K23" s="103">
        <v>50</v>
      </c>
      <c r="L23" s="103" t="s">
        <v>824</v>
      </c>
      <c r="M23" s="101">
        <v>6</v>
      </c>
      <c r="N23" s="679">
        <f>ROUND(758.86*Belarus*(1-G64),2)</f>
        <v>758.86</v>
      </c>
      <c r="O23" s="235">
        <f>N23*2</f>
        <v>1517.72</v>
      </c>
      <c r="Q23" s="1351"/>
      <c r="R23" s="1351"/>
      <c r="S23" s="1530"/>
      <c r="T23" s="1530"/>
      <c r="U23" s="1530"/>
      <c r="V23" s="1755" t="s">
        <v>853</v>
      </c>
      <c r="W23" s="1756"/>
      <c r="X23" s="103" t="s">
        <v>845</v>
      </c>
      <c r="Y23" s="1757">
        <f>1400*Belarus</f>
        <v>1400</v>
      </c>
      <c r="Z23" s="1758"/>
    </row>
    <row r="24" spans="1:26" ht="25.5" customHeight="1">
      <c r="A24" s="1764"/>
      <c r="B24" s="1352" t="s">
        <v>3599</v>
      </c>
      <c r="C24" s="1352"/>
      <c r="D24" s="1352"/>
      <c r="E24" s="1352"/>
      <c r="F24" s="1352"/>
      <c r="G24" s="1352"/>
      <c r="H24" s="1352"/>
      <c r="I24" s="1352"/>
      <c r="J24" s="1352"/>
      <c r="K24" s="1352"/>
      <c r="L24" s="1352"/>
      <c r="M24" s="1352"/>
      <c r="N24" s="1352"/>
      <c r="O24" s="1352"/>
      <c r="Q24" s="1351" t="s">
        <v>857</v>
      </c>
      <c r="R24" s="1351"/>
      <c r="S24" s="1530" t="s">
        <v>850</v>
      </c>
      <c r="T24" s="1530"/>
      <c r="U24" s="1530"/>
      <c r="V24" s="1530" t="s">
        <v>858</v>
      </c>
      <c r="W24" s="1530"/>
      <c r="X24" s="1530" t="s">
        <v>845</v>
      </c>
      <c r="Y24" s="1724">
        <v>980</v>
      </c>
      <c r="Z24" s="1724"/>
    </row>
    <row r="25" spans="1:26" ht="17.25" customHeight="1">
      <c r="A25" s="1764"/>
      <c r="B25" s="122" t="s">
        <v>869</v>
      </c>
      <c r="C25" s="1530" t="s">
        <v>3600</v>
      </c>
      <c r="D25" s="1530"/>
      <c r="E25" s="1530"/>
      <c r="F25" s="1530"/>
      <c r="G25" s="1530"/>
      <c r="H25" s="1530"/>
      <c r="I25" s="1530"/>
      <c r="J25" s="103" t="s">
        <v>865</v>
      </c>
      <c r="K25" s="103">
        <v>55</v>
      </c>
      <c r="L25" s="103" t="s">
        <v>870</v>
      </c>
      <c r="M25" s="101">
        <v>7</v>
      </c>
      <c r="N25" s="679">
        <f>ROUND(1456.81*Belarus*(1-G65),2)</f>
        <v>1456.81</v>
      </c>
      <c r="O25" s="235">
        <f>N25*1.5</f>
        <v>2185.2150000000001</v>
      </c>
      <c r="Q25" s="1351"/>
      <c r="R25" s="1351"/>
      <c r="S25" s="1530"/>
      <c r="T25" s="1530"/>
      <c r="U25" s="1530"/>
      <c r="V25" s="1530"/>
      <c r="W25" s="1530"/>
      <c r="X25" s="1530"/>
      <c r="Y25" s="1724"/>
      <c r="Z25" s="1724"/>
    </row>
    <row r="26" spans="1:26" ht="26.25" customHeight="1">
      <c r="A26" s="1764"/>
      <c r="B26" s="1491" t="s">
        <v>3601</v>
      </c>
      <c r="C26" s="1491"/>
      <c r="D26" s="1491"/>
      <c r="E26" s="1491"/>
      <c r="F26" s="1491"/>
      <c r="G26" s="1491"/>
      <c r="H26" s="1491"/>
      <c r="I26" s="1491"/>
      <c r="J26" s="1491"/>
      <c r="K26" s="1491"/>
      <c r="L26" s="1491"/>
      <c r="M26" s="1491"/>
      <c r="N26" s="1491"/>
      <c r="O26" s="1491"/>
      <c r="Q26" s="1409" t="s">
        <v>860</v>
      </c>
      <c r="R26" s="1411"/>
      <c r="S26" s="1755" t="s">
        <v>861</v>
      </c>
      <c r="T26" s="1759"/>
      <c r="U26" s="1756"/>
      <c r="V26" s="1755" t="s">
        <v>862</v>
      </c>
      <c r="W26" s="1756"/>
      <c r="X26" s="103" t="s">
        <v>845</v>
      </c>
      <c r="Y26" s="1757">
        <f>400*Belarus</f>
        <v>400</v>
      </c>
      <c r="Z26" s="1758"/>
    </row>
    <row r="27" spans="1:26" ht="31.5" customHeight="1">
      <c r="A27" s="1764"/>
      <c r="B27" s="122" t="s">
        <v>873</v>
      </c>
      <c r="C27" s="1530" t="s">
        <v>874</v>
      </c>
      <c r="D27" s="1530"/>
      <c r="E27" s="1530"/>
      <c r="F27" s="1530"/>
      <c r="G27" s="1530"/>
      <c r="H27" s="1530"/>
      <c r="I27" s="1530"/>
      <c r="J27" s="103" t="s">
        <v>875</v>
      </c>
      <c r="K27" s="103">
        <v>60</v>
      </c>
      <c r="L27" s="103" t="s">
        <v>870</v>
      </c>
      <c r="M27" s="101">
        <v>8</v>
      </c>
      <c r="N27" s="679">
        <f>ROUND(2104.29*Belarus*(1-G66),2)</f>
        <v>2104.29</v>
      </c>
      <c r="O27" s="235">
        <f>N27*1.5</f>
        <v>3156.4349999999999</v>
      </c>
      <c r="Q27" s="1418" t="s">
        <v>866</v>
      </c>
      <c r="R27" s="1420"/>
      <c r="S27" s="1530" t="s">
        <v>867</v>
      </c>
      <c r="T27" s="1530"/>
      <c r="U27" s="1530"/>
      <c r="V27" s="1755" t="s">
        <v>851</v>
      </c>
      <c r="W27" s="1756"/>
      <c r="X27" s="103" t="s">
        <v>845</v>
      </c>
      <c r="Y27" s="1757">
        <f>900*Belarus</f>
        <v>900</v>
      </c>
      <c r="Z27" s="1758"/>
    </row>
    <row r="28" spans="1:26">
      <c r="A28" s="1764"/>
      <c r="B28" s="1491" t="s">
        <v>3602</v>
      </c>
      <c r="C28" s="1491"/>
      <c r="D28" s="1491"/>
      <c r="E28" s="1491"/>
      <c r="F28" s="1491"/>
      <c r="G28" s="1491"/>
      <c r="H28" s="1491"/>
      <c r="I28" s="1491"/>
      <c r="J28" s="1491"/>
      <c r="K28" s="1491"/>
      <c r="L28" s="1491"/>
      <c r="M28" s="1491"/>
      <c r="N28" s="1491"/>
      <c r="O28" s="1491"/>
      <c r="Q28" s="1421"/>
      <c r="R28" s="1423"/>
      <c r="S28" s="1530"/>
      <c r="T28" s="1530"/>
      <c r="U28" s="1530"/>
      <c r="V28" s="1755" t="s">
        <v>868</v>
      </c>
      <c r="W28" s="1756"/>
      <c r="X28" s="103" t="s">
        <v>845</v>
      </c>
      <c r="Y28" s="1757">
        <f>1400*Belarus</f>
        <v>1400</v>
      </c>
      <c r="Z28" s="1758"/>
    </row>
    <row r="29" spans="1:26" ht="18" customHeight="1">
      <c r="A29" s="1764"/>
      <c r="B29" s="122" t="s">
        <v>6906</v>
      </c>
      <c r="C29" s="1530" t="s">
        <v>3603</v>
      </c>
      <c r="D29" s="1530"/>
      <c r="E29" s="1530"/>
      <c r="F29" s="1530"/>
      <c r="G29" s="1530"/>
      <c r="H29" s="1530"/>
      <c r="I29" s="1530"/>
      <c r="J29" s="103" t="s">
        <v>875</v>
      </c>
      <c r="K29" s="103">
        <v>60</v>
      </c>
      <c r="L29" s="103" t="s">
        <v>870</v>
      </c>
      <c r="M29" s="101">
        <v>9</v>
      </c>
      <c r="N29" s="679">
        <f>ROUND(2104.29*Belarus*(1-G67),2)</f>
        <v>2104.29</v>
      </c>
      <c r="O29" s="235">
        <f>N29*1.5</f>
        <v>3156.4349999999999</v>
      </c>
      <c r="Q29" s="1424"/>
      <c r="R29" s="1426"/>
      <c r="S29" s="1530"/>
      <c r="T29" s="1530"/>
      <c r="U29" s="1530"/>
      <c r="V29" s="1755" t="s">
        <v>871</v>
      </c>
      <c r="W29" s="1756"/>
      <c r="X29" s="103" t="s">
        <v>845</v>
      </c>
      <c r="Y29" s="1757">
        <f>1200*Belarus</f>
        <v>1200</v>
      </c>
      <c r="Z29" s="1758"/>
    </row>
    <row r="30" spans="1:26" ht="18" customHeight="1">
      <c r="A30" s="1764"/>
      <c r="B30" s="684"/>
      <c r="C30" s="684"/>
      <c r="D30" s="684"/>
      <c r="E30" s="684"/>
      <c r="F30" s="684"/>
      <c r="G30" s="684"/>
      <c r="H30" s="684"/>
      <c r="I30" s="684"/>
      <c r="J30" s="684"/>
      <c r="K30" s="684"/>
      <c r="L30" s="684"/>
      <c r="M30" s="825" t="s">
        <v>804</v>
      </c>
      <c r="N30" s="1753">
        <v>43272</v>
      </c>
      <c r="O30" s="1753"/>
      <c r="Q30" s="1452" t="s">
        <v>872</v>
      </c>
      <c r="R30" s="1477"/>
      <c r="S30" s="1477"/>
      <c r="T30" s="1477"/>
      <c r="U30" s="1477"/>
      <c r="V30" s="1477"/>
      <c r="W30" s="1477"/>
      <c r="X30" s="1477"/>
      <c r="Y30" s="1477"/>
      <c r="Z30" s="1478"/>
    </row>
    <row r="31" spans="1:26" ht="29.25" customHeight="1">
      <c r="A31" s="1764"/>
      <c r="B31" s="1535" t="s">
        <v>879</v>
      </c>
      <c r="C31" s="1733"/>
      <c r="D31" s="1733"/>
      <c r="E31" s="1733"/>
      <c r="F31" s="1536"/>
      <c r="G31" s="1452" t="s">
        <v>3604</v>
      </c>
      <c r="H31" s="1477"/>
      <c r="I31" s="1477"/>
      <c r="J31" s="1477"/>
      <c r="K31" s="1477"/>
      <c r="L31" s="1477"/>
      <c r="M31" s="1477"/>
      <c r="N31" s="1477"/>
      <c r="O31" s="1478"/>
      <c r="Q31" s="1409" t="s">
        <v>876</v>
      </c>
      <c r="R31" s="1411"/>
      <c r="S31" s="1530" t="s">
        <v>877</v>
      </c>
      <c r="T31" s="1530"/>
      <c r="U31" s="1530"/>
      <c r="V31" s="1530" t="s">
        <v>878</v>
      </c>
      <c r="W31" s="1530"/>
      <c r="X31" s="103" t="s">
        <v>845</v>
      </c>
      <c r="Y31" s="1754">
        <f>55*Belarus</f>
        <v>55</v>
      </c>
      <c r="Z31" s="1754"/>
    </row>
    <row r="32" spans="1:26" ht="22.5" customHeight="1">
      <c r="A32" s="1764"/>
      <c r="B32" s="1568"/>
      <c r="C32" s="1735"/>
      <c r="D32" s="1735"/>
      <c r="E32" s="1735"/>
      <c r="F32" s="1569"/>
      <c r="G32" s="1491" t="s">
        <v>3546</v>
      </c>
      <c r="H32" s="1491"/>
      <c r="I32" s="1491"/>
      <c r="J32" s="1491"/>
      <c r="K32" s="82" t="s">
        <v>3605</v>
      </c>
      <c r="L32" s="1491" t="s">
        <v>3606</v>
      </c>
      <c r="M32" s="1491"/>
      <c r="N32" s="1491" t="s">
        <v>3607</v>
      </c>
      <c r="O32" s="1491"/>
      <c r="Q32" s="1452" t="s">
        <v>884</v>
      </c>
      <c r="R32" s="1477"/>
      <c r="S32" s="1477"/>
      <c r="T32" s="1477"/>
      <c r="U32" s="1477"/>
      <c r="V32" s="1477"/>
      <c r="W32" s="1477"/>
      <c r="X32" s="1478"/>
      <c r="Y32" s="247" t="s">
        <v>885</v>
      </c>
      <c r="Z32" s="247" t="s">
        <v>814</v>
      </c>
    </row>
    <row r="33" spans="1:31" ht="27.75" customHeight="1">
      <c r="A33" s="1764"/>
      <c r="B33" s="1351" t="s">
        <v>4090</v>
      </c>
      <c r="C33" s="1351"/>
      <c r="D33" s="1530" t="s">
        <v>881</v>
      </c>
      <c r="E33" s="1530"/>
      <c r="F33" s="1530"/>
      <c r="G33" s="1752" t="str">
        <f>ROUND(685*Belarus*(1-H74),2)&amp;" Обнинск"&amp;"; "&amp;ROUND(685*Belarus*(1-H74),2)&amp;" Ярославль"</f>
        <v>685 Обнинск; 685 Ярославль</v>
      </c>
      <c r="H33" s="1752"/>
      <c r="I33" s="1752"/>
      <c r="J33" s="1752"/>
      <c r="K33" s="993" t="str">
        <f>ROUND(685*Belarus*(1-H74),2)&amp;" НН"&amp;"; "&amp;ROUND(685*Belarus*(1-H74),2)&amp;" Киров"</f>
        <v>685 НН; 685 Киров</v>
      </c>
      <c r="L33" s="1580">
        <f>ROUND(690*Belarus*(1-H74),2)</f>
        <v>690</v>
      </c>
      <c r="M33" s="1580"/>
      <c r="N33" s="1462">
        <f>ROUND(686*Belarus*(1-H74),2)</f>
        <v>686</v>
      </c>
      <c r="O33" s="1464"/>
      <c r="Q33" s="1351" t="s">
        <v>886</v>
      </c>
      <c r="R33" s="1351"/>
      <c r="S33" s="1530" t="s">
        <v>887</v>
      </c>
      <c r="T33" s="1530"/>
      <c r="U33" s="1530"/>
      <c r="V33" s="1530" t="s">
        <v>369</v>
      </c>
      <c r="W33" s="1530"/>
      <c r="X33" s="103" t="s">
        <v>845</v>
      </c>
      <c r="Y33" s="679">
        <f>ROUND(267.8*Belarus*(1-H71),2)</f>
        <v>267.8</v>
      </c>
      <c r="Z33" s="235">
        <f>Y33*3.6</f>
        <v>964.08</v>
      </c>
    </row>
    <row r="34" spans="1:31" ht="15.75" customHeight="1">
      <c r="A34" s="1764"/>
      <c r="B34" s="1418" t="s">
        <v>6350</v>
      </c>
      <c r="C34" s="1420"/>
      <c r="D34" s="1468" t="s">
        <v>883</v>
      </c>
      <c r="E34" s="1469"/>
      <c r="F34" s="1527"/>
      <c r="G34" s="1752" t="str">
        <f>ROUND(862*Belarus*(1-H74),2)&amp;" Обнинск"&amp;"; "&amp;ROUND(862*Belarus*(1-H74),2)&amp;" Ярославль"</f>
        <v>862 Обнинск; 862 Ярославль</v>
      </c>
      <c r="H34" s="1752"/>
      <c r="I34" s="1752"/>
      <c r="J34" s="1752"/>
      <c r="K34" s="993" t="str">
        <f>ROUND(862*Belarus*(1-H74),2)&amp;" НН"&amp;"; "&amp;ROUND(862*Belarus*(1-H74),2)&amp;" Киров"</f>
        <v>862 НН; 862 Киров</v>
      </c>
      <c r="L34" s="1580">
        <f>ROUND(870*Belarus*(1-H75),2)</f>
        <v>870</v>
      </c>
      <c r="M34" s="1580"/>
      <c r="N34" s="1580">
        <f>ROUND(865*Belarus*(1-H75),2)</f>
        <v>865</v>
      </c>
      <c r="O34" s="1580"/>
      <c r="Q34" s="1351"/>
      <c r="R34" s="1351"/>
      <c r="S34" s="1551" t="s">
        <v>888</v>
      </c>
      <c r="T34" s="1551"/>
      <c r="U34" s="1551"/>
      <c r="V34" s="1551" t="s">
        <v>369</v>
      </c>
      <c r="W34" s="1551"/>
      <c r="X34" s="249" t="s">
        <v>845</v>
      </c>
      <c r="Y34" s="679">
        <f>ROUND(238.75*Belarus*(1-H71),2)</f>
        <v>238.75</v>
      </c>
      <c r="Z34" s="235">
        <f>Y34*12</f>
        <v>2865</v>
      </c>
    </row>
    <row r="35" spans="1:31" s="184" customFormat="1" ht="32.25" customHeight="1">
      <c r="A35" s="1764"/>
      <c r="B35" s="1365" t="s">
        <v>5313</v>
      </c>
      <c r="C35" s="1366"/>
      <c r="D35" s="1366"/>
      <c r="E35" s="1366"/>
      <c r="F35" s="1366"/>
      <c r="G35" s="1366"/>
      <c r="H35" s="1366"/>
      <c r="I35" s="1366"/>
      <c r="J35" s="1366"/>
      <c r="K35" s="1366"/>
      <c r="L35" s="1366"/>
      <c r="M35" s="1366"/>
      <c r="N35" s="1366"/>
      <c r="O35" s="1367"/>
      <c r="Q35" s="1409" t="s">
        <v>889</v>
      </c>
      <c r="R35" s="1411"/>
      <c r="S35" s="1530" t="s">
        <v>890</v>
      </c>
      <c r="T35" s="1530"/>
      <c r="U35" s="1530"/>
      <c r="V35" s="1530" t="s">
        <v>369</v>
      </c>
      <c r="W35" s="1530"/>
      <c r="X35" s="103" t="s">
        <v>845</v>
      </c>
      <c r="Y35" s="1724">
        <f>ROUND(187*Belarus*(1-H71),2)</f>
        <v>187</v>
      </c>
      <c r="Z35" s="1724"/>
      <c r="AA35" s="685"/>
    </row>
    <row r="36" spans="1:31" s="184" customFormat="1" ht="15.75" customHeight="1">
      <c r="A36" s="1764"/>
      <c r="Q36" s="1739" t="s">
        <v>3609</v>
      </c>
      <c r="R36" s="1740"/>
      <c r="S36" s="1741" t="s">
        <v>891</v>
      </c>
      <c r="T36" s="1742"/>
      <c r="U36" s="1743"/>
      <c r="V36" s="1747" t="s">
        <v>3610</v>
      </c>
      <c r="W36" s="1748"/>
      <c r="X36" s="723" t="s">
        <v>892</v>
      </c>
      <c r="Y36" s="678">
        <f>ROUND(173*Belarus*(1-H71),2)</f>
        <v>173</v>
      </c>
      <c r="Z36" s="822">
        <f>Y36*5</f>
        <v>865</v>
      </c>
      <c r="AA36" s="685"/>
    </row>
    <row r="37" spans="1:31" s="184" customFormat="1" ht="18" customHeight="1">
      <c r="A37" s="440"/>
      <c r="B37" s="440"/>
      <c r="C37" s="440"/>
      <c r="D37" s="440"/>
      <c r="E37" s="440"/>
      <c r="F37" s="440"/>
      <c r="G37" s="440"/>
      <c r="H37" s="440"/>
      <c r="I37" s="440"/>
      <c r="J37" s="440"/>
      <c r="K37" s="440"/>
      <c r="L37" s="440"/>
      <c r="M37" s="440"/>
      <c r="N37" s="440"/>
      <c r="O37" s="440"/>
      <c r="Q37" s="1327" t="s">
        <v>3611</v>
      </c>
      <c r="R37" s="1329"/>
      <c r="S37" s="1741"/>
      <c r="T37" s="1742"/>
      <c r="U37" s="1743"/>
      <c r="V37" s="1737" t="s">
        <v>3612</v>
      </c>
      <c r="W37" s="1738"/>
      <c r="X37" s="206" t="s">
        <v>892</v>
      </c>
      <c r="Y37" s="679">
        <f>ROUND(177*Belarus*(1-H71),2)</f>
        <v>177</v>
      </c>
      <c r="Z37" s="235">
        <f>Y37</f>
        <v>177</v>
      </c>
      <c r="AA37" s="685"/>
    </row>
    <row r="38" spans="1:31" s="184" customFormat="1" ht="12.75" customHeight="1">
      <c r="A38" s="809" t="s">
        <v>894</v>
      </c>
      <c r="B38" s="810"/>
      <c r="C38" s="810"/>
      <c r="D38" s="810"/>
      <c r="E38" s="810"/>
      <c r="F38" s="810"/>
      <c r="G38" s="810"/>
      <c r="H38" s="810"/>
      <c r="I38" s="810"/>
      <c r="J38" s="810"/>
      <c r="K38" s="810"/>
      <c r="L38" s="190"/>
      <c r="M38" s="192" t="s">
        <v>315</v>
      </c>
      <c r="N38" s="1749">
        <v>43238</v>
      </c>
      <c r="O38" s="1749"/>
      <c r="Q38" s="1750" t="s">
        <v>3613</v>
      </c>
      <c r="R38" s="1751"/>
      <c r="S38" s="1744"/>
      <c r="T38" s="1745"/>
      <c r="U38" s="1746"/>
      <c r="V38" s="1737" t="s">
        <v>3610</v>
      </c>
      <c r="W38" s="1738"/>
      <c r="X38" s="206" t="s">
        <v>892</v>
      </c>
      <c r="Y38" s="679">
        <f>ROUND(173*Belarus*(1-H71),2)</f>
        <v>173</v>
      </c>
      <c r="Z38" s="235">
        <f>Y38*5</f>
        <v>865</v>
      </c>
      <c r="AA38" s="685"/>
    </row>
    <row r="39" spans="1:31" s="184" customFormat="1" ht="15" customHeight="1">
      <c r="A39" s="1535" t="s">
        <v>307</v>
      </c>
      <c r="B39" s="1733"/>
      <c r="C39" s="1536"/>
      <c r="D39" s="1495" t="s">
        <v>623</v>
      </c>
      <c r="E39" s="1398" t="s">
        <v>898</v>
      </c>
      <c r="F39" s="1398"/>
      <c r="G39" s="1398"/>
      <c r="H39" s="1398"/>
      <c r="I39" s="1398"/>
      <c r="J39" s="1398"/>
      <c r="K39" s="1398"/>
      <c r="L39" s="1398"/>
      <c r="M39" s="1398"/>
      <c r="N39" s="1398"/>
      <c r="O39" s="1398"/>
      <c r="Q39" s="1327" t="s">
        <v>895</v>
      </c>
      <c r="R39" s="1329"/>
      <c r="S39" s="1736" t="s">
        <v>896</v>
      </c>
      <c r="T39" s="1736"/>
      <c r="U39" s="1736"/>
      <c r="V39" s="1737" t="s">
        <v>369</v>
      </c>
      <c r="W39" s="1738"/>
      <c r="X39" s="249" t="s">
        <v>845</v>
      </c>
      <c r="Y39" s="1724">
        <f>ROUND(493*Belarus*(1-H72),2)</f>
        <v>493</v>
      </c>
      <c r="Z39" s="1724"/>
    </row>
    <row r="40" spans="1:31" ht="17.25" customHeight="1">
      <c r="A40" s="1537"/>
      <c r="B40" s="1734"/>
      <c r="C40" s="1538"/>
      <c r="D40" s="1470"/>
      <c r="E40" s="1729" t="s">
        <v>668</v>
      </c>
      <c r="F40" s="1729" t="s">
        <v>329</v>
      </c>
      <c r="G40" s="1731" t="s">
        <v>669</v>
      </c>
      <c r="H40" s="1731" t="s">
        <v>331</v>
      </c>
      <c r="I40" s="1731" t="s">
        <v>900</v>
      </c>
      <c r="J40" s="1731" t="s">
        <v>333</v>
      </c>
      <c r="K40" s="1729" t="s">
        <v>901</v>
      </c>
      <c r="L40" s="1729" t="s">
        <v>323</v>
      </c>
      <c r="M40" s="1731" t="s">
        <v>334</v>
      </c>
      <c r="N40" s="1731" t="s">
        <v>335</v>
      </c>
      <c r="O40" s="1729" t="s">
        <v>339</v>
      </c>
      <c r="Q40" s="1327" t="s">
        <v>899</v>
      </c>
      <c r="R40" s="1329"/>
      <c r="S40" s="1736"/>
      <c r="T40" s="1736"/>
      <c r="U40" s="1736"/>
      <c r="V40" s="1737" t="s">
        <v>369</v>
      </c>
      <c r="W40" s="1738"/>
      <c r="X40" s="249" t="s">
        <v>845</v>
      </c>
      <c r="Y40" s="1724">
        <f>ROUND(2188*Belarus*(1-H72),2)</f>
        <v>2188</v>
      </c>
      <c r="Z40" s="1724"/>
    </row>
    <row r="41" spans="1:31" ht="13.5" customHeight="1">
      <c r="A41" s="1568"/>
      <c r="B41" s="1735"/>
      <c r="C41" s="1569"/>
      <c r="D41" s="1496"/>
      <c r="E41" s="1730"/>
      <c r="F41" s="1730"/>
      <c r="G41" s="1732"/>
      <c r="H41" s="1732"/>
      <c r="I41" s="1732"/>
      <c r="J41" s="1732"/>
      <c r="K41" s="1730"/>
      <c r="L41" s="1730"/>
      <c r="M41" s="1732"/>
      <c r="N41" s="1732"/>
      <c r="O41" s="1730"/>
      <c r="Q41" s="1452" t="s">
        <v>152</v>
      </c>
      <c r="R41" s="1477"/>
      <c r="S41" s="1477"/>
      <c r="T41" s="1477"/>
      <c r="U41" s="1477"/>
      <c r="V41" s="1477"/>
      <c r="W41" s="1477"/>
      <c r="X41" s="1477"/>
      <c r="Y41" s="1477"/>
      <c r="Z41" s="1478"/>
    </row>
    <row r="42" spans="1:31" ht="16.5" customHeight="1">
      <c r="A42" s="1418" t="s">
        <v>902</v>
      </c>
      <c r="B42" s="1419"/>
      <c r="C42" s="1420"/>
      <c r="D42" s="1459">
        <v>200</v>
      </c>
      <c r="E42" s="1725">
        <f>ROUND(278*Belarus*(1-H73),2)</f>
        <v>278</v>
      </c>
      <c r="F42" s="1725">
        <f>ROUND(290*Belarus*(1-H73),2)</f>
        <v>290</v>
      </c>
      <c r="G42" s="1727">
        <f>ROUND(311*Belarus*(1-H73),2)</f>
        <v>311</v>
      </c>
      <c r="H42" s="1727">
        <f>ROUND(260*Belarus*(1-H73),2)</f>
        <v>260</v>
      </c>
      <c r="I42" s="1727">
        <f>ROUND(249*Belarus*(1-H73),2)</f>
        <v>249</v>
      </c>
      <c r="J42" s="1727">
        <f>ROUND(237*Belarus*(1-H73),2)</f>
        <v>237</v>
      </c>
      <c r="K42" s="1725">
        <f>ROUND(407*Belarus*(1-H73),2)</f>
        <v>407</v>
      </c>
      <c r="L42" s="1725">
        <f>ROUND(241*Belarus*(1-H73),2)</f>
        <v>241</v>
      </c>
      <c r="M42" s="1727">
        <f>ROUND(222*Belarus*(1-H73),2)</f>
        <v>222</v>
      </c>
      <c r="N42" s="1727">
        <f>ROUND(210*Belarus*(1-H73),2)</f>
        <v>210</v>
      </c>
      <c r="O42" s="1725">
        <f>ROUND(171*Belarus*(1-H73),2)</f>
        <v>171</v>
      </c>
      <c r="P42" s="243"/>
      <c r="Q42" s="1409" t="s">
        <v>903</v>
      </c>
      <c r="R42" s="1410"/>
      <c r="S42" s="1410"/>
      <c r="T42" s="1410"/>
      <c r="U42" s="1411"/>
      <c r="V42" s="1530" t="s">
        <v>369</v>
      </c>
      <c r="W42" s="1530"/>
      <c r="X42" s="249" t="s">
        <v>845</v>
      </c>
      <c r="Y42" s="1724">
        <f>390*Belarus</f>
        <v>390</v>
      </c>
      <c r="Z42" s="1724"/>
    </row>
    <row r="43" spans="1:31" ht="15.75" customHeight="1">
      <c r="A43" s="1424"/>
      <c r="B43" s="1425"/>
      <c r="C43" s="1426"/>
      <c r="D43" s="1461"/>
      <c r="E43" s="1726"/>
      <c r="F43" s="1726"/>
      <c r="G43" s="1728"/>
      <c r="H43" s="1728"/>
      <c r="I43" s="1728"/>
      <c r="J43" s="1728"/>
      <c r="K43" s="1726"/>
      <c r="L43" s="1726"/>
      <c r="M43" s="1728"/>
      <c r="N43" s="1728"/>
      <c r="O43" s="1726"/>
      <c r="P43" s="243"/>
      <c r="Q43" s="1409" t="s">
        <v>905</v>
      </c>
      <c r="R43" s="1410"/>
      <c r="S43" s="1410"/>
      <c r="T43" s="1410"/>
      <c r="U43" s="1411"/>
      <c r="V43" s="1530" t="s">
        <v>369</v>
      </c>
      <c r="W43" s="1530"/>
      <c r="X43" s="249" t="s">
        <v>845</v>
      </c>
      <c r="Y43" s="1724">
        <v>3250</v>
      </c>
      <c r="Z43" s="1724"/>
    </row>
    <row r="44" spans="1:31" ht="15" customHeight="1">
      <c r="A44" s="1377" t="s">
        <v>904</v>
      </c>
      <c r="B44" s="1377"/>
      <c r="C44" s="1377"/>
      <c r="D44" s="153">
        <v>235</v>
      </c>
      <c r="E44" s="87">
        <f>ROUND(330*Belarus*(1-H73),2)</f>
        <v>330</v>
      </c>
      <c r="F44" s="87">
        <f>ROUND(345*Belarus*(1-H73),2)</f>
        <v>345</v>
      </c>
      <c r="G44" s="90">
        <f>ROUND(370*Belarus*(1-H73),2)</f>
        <v>370</v>
      </c>
      <c r="H44" s="90">
        <f>ROUND(309*Belarus*(1-H73),2)</f>
        <v>309</v>
      </c>
      <c r="I44" s="90">
        <f>ROUND(295*Belarus*(1-H73),2)</f>
        <v>295</v>
      </c>
      <c r="J44" s="90">
        <f>ROUND(282*Belarus*(1-H73),2)</f>
        <v>282</v>
      </c>
      <c r="K44" s="87">
        <f>ROUND(484*Belarus*(1-H73),2)</f>
        <v>484</v>
      </c>
      <c r="L44" s="87">
        <f>ROUND(287*Belarus*(1-H73),2)</f>
        <v>287</v>
      </c>
      <c r="M44" s="90">
        <f>ROUND(265*Belarus*(1-H73),2)</f>
        <v>265</v>
      </c>
      <c r="N44" s="90">
        <f>ROUND(250*Belarus*(1-H73),2)</f>
        <v>250</v>
      </c>
      <c r="O44" s="87">
        <f>ROUND(202*Belarus*(1-H73),2)</f>
        <v>202</v>
      </c>
      <c r="P44" s="243"/>
      <c r="Q44" s="1452" t="s">
        <v>420</v>
      </c>
      <c r="R44" s="1477"/>
      <c r="S44" s="1477"/>
      <c r="T44" s="1477"/>
      <c r="U44" s="1477"/>
      <c r="V44" s="1477"/>
      <c r="W44" s="1477"/>
      <c r="X44" s="1477"/>
      <c r="Y44" s="1477"/>
      <c r="Z44" s="1478"/>
      <c r="AA44" s="244"/>
      <c r="AB44" s="244"/>
      <c r="AC44" s="244"/>
      <c r="AD44" s="244"/>
      <c r="AE44" s="244"/>
    </row>
    <row r="45" spans="1:31" s="244" customFormat="1" ht="14.25" customHeight="1">
      <c r="A45" s="1377" t="s">
        <v>906</v>
      </c>
      <c r="B45" s="1377"/>
      <c r="C45" s="1377"/>
      <c r="D45" s="153">
        <v>205</v>
      </c>
      <c r="E45" s="87">
        <f>ROUND(278*Belarus*(1-H73),2)</f>
        <v>278</v>
      </c>
      <c r="F45" s="87">
        <f>ROUND(290*Belarus*(1-H73),2)</f>
        <v>290</v>
      </c>
      <c r="G45" s="90">
        <f>ROUND(311*Belarus*(1-H73),2)</f>
        <v>311</v>
      </c>
      <c r="H45" s="90">
        <f>ROUND(260*Belarus*(1-H73),2)</f>
        <v>260</v>
      </c>
      <c r="I45" s="90">
        <f>ROUND(249*Belarus*(1-H73),2)</f>
        <v>249</v>
      </c>
      <c r="J45" s="90">
        <f>ROUND(237*Belarus*(1-H73),2)</f>
        <v>237</v>
      </c>
      <c r="K45" s="87">
        <f>ROUND(407*Belarus*(1-H73),2)</f>
        <v>407</v>
      </c>
      <c r="L45" s="87">
        <f>ROUND(241*Belarus*(1-H73),2)</f>
        <v>241</v>
      </c>
      <c r="M45" s="90">
        <f>ROUND(222*Belarus*(1-H73),2)</f>
        <v>222</v>
      </c>
      <c r="N45" s="90">
        <f>ROUND(210*Belarus*(1-H73),2)</f>
        <v>210</v>
      </c>
      <c r="O45" s="87">
        <f>ROUND(171*Belarus*(1-H73),2)</f>
        <v>171</v>
      </c>
      <c r="P45" s="245"/>
      <c r="Q45" s="1365" t="s">
        <v>908</v>
      </c>
      <c r="R45" s="1366"/>
      <c r="S45" s="1366"/>
      <c r="T45" s="1366"/>
      <c r="U45" s="1366"/>
      <c r="V45" s="1366"/>
      <c r="W45" s="1366"/>
      <c r="X45" s="1366"/>
      <c r="Y45" s="1366"/>
      <c r="Z45" s="1367"/>
      <c r="AA45" s="54"/>
      <c r="AB45" s="54"/>
      <c r="AC45" s="54"/>
      <c r="AD45" s="54"/>
      <c r="AE45" s="54"/>
    </row>
    <row r="46" spans="1:31" ht="17.25" customHeight="1">
      <c r="A46" s="1351" t="s">
        <v>907</v>
      </c>
      <c r="B46" s="1351"/>
      <c r="C46" s="1351"/>
      <c r="D46" s="153">
        <v>270</v>
      </c>
      <c r="E46" s="87">
        <f>ROUND(409*Belarus*(1-H73),2)</f>
        <v>409</v>
      </c>
      <c r="F46" s="87">
        <f>ROUND(428*Belarus*(1-H73),2)</f>
        <v>428</v>
      </c>
      <c r="G46" s="90">
        <f>ROUND(460*Belarus*(1-H73),2)</f>
        <v>460</v>
      </c>
      <c r="H46" s="90">
        <f>ROUND(382*Belarus*(1-H73),2)</f>
        <v>382</v>
      </c>
      <c r="I46" s="90">
        <f>ROUND(365*Belarus*(1-H73),2)</f>
        <v>365</v>
      </c>
      <c r="J46" s="90">
        <f>ROUND(348*Belarus*(1-H73),2)</f>
        <v>348</v>
      </c>
      <c r="K46" s="87">
        <f>ROUND(602*Belarus*(1-H73),2)</f>
        <v>602</v>
      </c>
      <c r="L46" s="87">
        <f>ROUND(354*Belarus*(1-H73),2)</f>
        <v>354</v>
      </c>
      <c r="M46" s="90">
        <f>ROUND(327*Belarus*(1-H73),2)</f>
        <v>327</v>
      </c>
      <c r="N46" s="90">
        <f>ROUND(308*Belarus*(1-H73),2)</f>
        <v>308</v>
      </c>
      <c r="O46" s="87">
        <f>ROUND(249*Belarus*(1-H73),2)</f>
        <v>249</v>
      </c>
      <c r="P46" s="246"/>
      <c r="Q46" s="1356" t="s">
        <v>910</v>
      </c>
      <c r="R46" s="1357"/>
      <c r="S46" s="1357"/>
      <c r="T46" s="1357"/>
      <c r="U46" s="1357"/>
      <c r="V46" s="1357"/>
      <c r="W46" s="1357"/>
      <c r="X46" s="1357"/>
      <c r="Y46" s="1357"/>
      <c r="Z46" s="1358"/>
      <c r="AA46" s="686"/>
      <c r="AB46" s="248"/>
      <c r="AC46" s="248"/>
      <c r="AD46" s="248"/>
      <c r="AE46" s="248"/>
    </row>
    <row r="47" spans="1:31" s="248" customFormat="1" ht="17.25" customHeight="1">
      <c r="A47" s="1377" t="s">
        <v>909</v>
      </c>
      <c r="B47" s="1377"/>
      <c r="C47" s="1377"/>
      <c r="D47" s="153">
        <v>175</v>
      </c>
      <c r="E47" s="87">
        <f>ROUND(239*Belarus*(1-H73),2)</f>
        <v>239</v>
      </c>
      <c r="F47" s="87">
        <f>ROUND(251*Belarus*(1-H73),2)</f>
        <v>251</v>
      </c>
      <c r="G47" s="90">
        <f>ROUND(269*Belarus*(1-H73),2)</f>
        <v>269</v>
      </c>
      <c r="H47" s="90">
        <f>ROUND(224*Belarus*(1-H73),2)</f>
        <v>224</v>
      </c>
      <c r="I47" s="90">
        <f>ROUND(215*Belarus*(1-H73),2)</f>
        <v>215</v>
      </c>
      <c r="J47" s="90">
        <f>ROUND(205*Belarus*(1-H73),2)</f>
        <v>205</v>
      </c>
      <c r="K47" s="87">
        <f>ROUND(350*Belarus*(1-H73),2)</f>
        <v>350</v>
      </c>
      <c r="L47" s="87">
        <f>ROUND(208*Belarus*(1-H73),2)</f>
        <v>208</v>
      </c>
      <c r="M47" s="90">
        <f>ROUND(193*Belarus*(1-H73),2)</f>
        <v>193</v>
      </c>
      <c r="N47" s="90">
        <f>ROUND(182*Belarus*(1-H73),2)</f>
        <v>182</v>
      </c>
      <c r="O47" s="87">
        <f>ROUND(148*Belarus*(1-H73),2)</f>
        <v>148</v>
      </c>
      <c r="P47" s="246"/>
      <c r="Q47" s="1351" t="s">
        <v>3614</v>
      </c>
      <c r="R47" s="1351"/>
      <c r="S47" s="1351"/>
      <c r="T47" s="1351"/>
      <c r="U47" s="1351"/>
      <c r="V47" s="1351"/>
      <c r="W47" s="1351"/>
      <c r="X47" s="1351"/>
      <c r="Y47" s="1351"/>
      <c r="Z47" s="1351"/>
      <c r="AA47" s="686"/>
    </row>
    <row r="48" spans="1:31" s="248" customFormat="1" ht="13.5" customHeight="1">
      <c r="A48" s="1351" t="s">
        <v>911</v>
      </c>
      <c r="B48" s="1351"/>
      <c r="C48" s="1351"/>
      <c r="D48" s="153">
        <v>100</v>
      </c>
      <c r="E48" s="87">
        <f>ROUND(146*Belarus*(1-H73),2)</f>
        <v>146</v>
      </c>
      <c r="F48" s="87">
        <f>ROUND(152*Belarus*(1-H73),2)</f>
        <v>152</v>
      </c>
      <c r="G48" s="90">
        <f>ROUND(163*Belarus*(1-H73),2)</f>
        <v>163</v>
      </c>
      <c r="H48" s="90">
        <f>ROUND(137*Belarus*(1-H73),2)</f>
        <v>137</v>
      </c>
      <c r="I48" s="90">
        <f>ROUND(132*Belarus*(1-H73),2)</f>
        <v>132</v>
      </c>
      <c r="J48" s="90">
        <f>ROUND(126*Belarus*(1-H73),2)</f>
        <v>126</v>
      </c>
      <c r="K48" s="87">
        <f>ROUND(210*Belarus*(1-H73),2)</f>
        <v>210</v>
      </c>
      <c r="L48" s="87">
        <f>ROUND(128*Belarus*(1-H73),2)</f>
        <v>128</v>
      </c>
      <c r="M48" s="90">
        <f>ROUND(119*Belarus*(1-H73),2)</f>
        <v>119</v>
      </c>
      <c r="N48" s="90">
        <f>ROUND(113*Belarus*(1-H73),2)</f>
        <v>113</v>
      </c>
      <c r="O48" s="87">
        <f>ROUND(93*Belarus*(1-H73),2)</f>
        <v>93</v>
      </c>
      <c r="P48" s="246"/>
      <c r="Q48" s="1351"/>
      <c r="R48" s="1351"/>
      <c r="S48" s="1351"/>
      <c r="T48" s="1351"/>
      <c r="U48" s="1351"/>
      <c r="V48" s="1351"/>
      <c r="W48" s="1351"/>
      <c r="X48" s="1351"/>
      <c r="Y48" s="1351"/>
      <c r="Z48" s="1351"/>
      <c r="AA48" s="686"/>
    </row>
    <row r="53" spans="1:31">
      <c r="A53" s="1595" t="s">
        <v>508</v>
      </c>
      <c r="B53" s="1595"/>
      <c r="C53" s="1595"/>
      <c r="D53" s="1595"/>
      <c r="E53" s="1595"/>
      <c r="F53" s="1595"/>
      <c r="G53" s="1595"/>
    </row>
    <row r="54" spans="1:31">
      <c r="A54" s="1595" t="s">
        <v>912</v>
      </c>
      <c r="B54" s="1595"/>
      <c r="C54" s="1595"/>
      <c r="D54" s="1595"/>
      <c r="E54" s="1595"/>
      <c r="F54" s="1595"/>
      <c r="G54" s="253">
        <v>0</v>
      </c>
    </row>
    <row r="55" spans="1:31">
      <c r="A55" s="1595" t="s">
        <v>6914</v>
      </c>
      <c r="B55" s="1595"/>
      <c r="C55" s="1595"/>
      <c r="D55" s="1595"/>
      <c r="E55" s="1595"/>
      <c r="F55" s="1595"/>
      <c r="G55" s="253">
        <v>0</v>
      </c>
      <c r="R55" s="108"/>
      <c r="S55" s="108"/>
      <c r="T55" s="108"/>
    </row>
    <row r="56" spans="1:31">
      <c r="A56" s="1595" t="s">
        <v>6915</v>
      </c>
      <c r="B56" s="1595"/>
      <c r="C56" s="1595"/>
      <c r="D56" s="1595"/>
      <c r="E56" s="1595"/>
      <c r="F56" s="1595"/>
      <c r="G56" s="253">
        <v>0</v>
      </c>
    </row>
    <row r="57" spans="1:31">
      <c r="A57" s="1722" t="s">
        <v>913</v>
      </c>
      <c r="B57" s="1722"/>
      <c r="C57" s="1722"/>
      <c r="D57" s="1722"/>
      <c r="E57" s="1722"/>
      <c r="F57" s="1722"/>
      <c r="G57" s="253">
        <v>0</v>
      </c>
    </row>
    <row r="58" spans="1:31">
      <c r="A58" s="1722" t="s">
        <v>914</v>
      </c>
      <c r="B58" s="1722"/>
      <c r="C58" s="1722"/>
      <c r="D58" s="1722"/>
      <c r="E58" s="1722"/>
      <c r="F58" s="1722"/>
      <c r="G58" s="253">
        <v>0</v>
      </c>
    </row>
    <row r="59" spans="1:31">
      <c r="A59" s="1722" t="s">
        <v>915</v>
      </c>
      <c r="B59" s="1722"/>
      <c r="C59" s="1722"/>
      <c r="D59" s="1722"/>
      <c r="E59" s="1722"/>
      <c r="F59" s="1722"/>
      <c r="G59" s="253">
        <v>0</v>
      </c>
    </row>
    <row r="60" spans="1:31">
      <c r="A60" s="1722" t="s">
        <v>916</v>
      </c>
      <c r="B60" s="1722"/>
      <c r="C60" s="1722"/>
      <c r="D60" s="1722"/>
      <c r="E60" s="1722"/>
      <c r="F60" s="1722"/>
      <c r="G60" s="253">
        <v>0</v>
      </c>
    </row>
    <row r="61" spans="1:31" s="190" customFormat="1">
      <c r="A61" s="1722" t="s">
        <v>917</v>
      </c>
      <c r="B61" s="1722"/>
      <c r="C61" s="1722"/>
      <c r="D61" s="1722"/>
      <c r="E61" s="1722"/>
      <c r="F61" s="1722"/>
      <c r="G61" s="253">
        <v>0</v>
      </c>
      <c r="P61" s="54"/>
      <c r="Q61" s="54"/>
      <c r="R61" s="54"/>
      <c r="S61" s="54"/>
      <c r="T61" s="54"/>
      <c r="U61" s="54"/>
      <c r="V61" s="54"/>
      <c r="W61" s="54"/>
      <c r="X61" s="54"/>
      <c r="Y61" s="54"/>
      <c r="Z61" s="54"/>
      <c r="AA61" s="54"/>
      <c r="AB61" s="54"/>
      <c r="AC61" s="54"/>
      <c r="AD61" s="54"/>
      <c r="AE61" s="54"/>
    </row>
    <row r="62" spans="1:31" s="190" customFormat="1">
      <c r="A62" s="1723" t="s">
        <v>918</v>
      </c>
      <c r="B62" s="1723"/>
      <c r="C62" s="1723"/>
      <c r="D62" s="1723"/>
      <c r="E62" s="1723"/>
      <c r="F62" s="1723"/>
      <c r="G62" s="253">
        <v>0</v>
      </c>
      <c r="P62" s="54"/>
      <c r="Q62" s="54"/>
      <c r="R62" s="54"/>
      <c r="S62" s="54"/>
      <c r="T62" s="54"/>
      <c r="U62" s="54"/>
      <c r="V62" s="54"/>
      <c r="W62" s="54"/>
      <c r="X62" s="54"/>
      <c r="Y62" s="54"/>
      <c r="Z62" s="54"/>
      <c r="AA62" s="54"/>
      <c r="AB62" s="54"/>
      <c r="AC62" s="54"/>
      <c r="AD62" s="54"/>
      <c r="AE62" s="54"/>
    </row>
    <row r="63" spans="1:31" s="190" customFormat="1">
      <c r="A63" s="1723" t="s">
        <v>919</v>
      </c>
      <c r="B63" s="1723"/>
      <c r="C63" s="1723"/>
      <c r="D63" s="1723"/>
      <c r="E63" s="1723"/>
      <c r="F63" s="1723"/>
      <c r="G63" s="253">
        <v>0</v>
      </c>
      <c r="P63" s="54"/>
      <c r="Q63" s="54"/>
      <c r="R63" s="54"/>
      <c r="S63" s="54"/>
      <c r="T63" s="54"/>
      <c r="U63" s="54"/>
      <c r="V63" s="54"/>
      <c r="W63" s="54"/>
      <c r="X63" s="54"/>
      <c r="Y63" s="54"/>
      <c r="Z63" s="54"/>
      <c r="AA63" s="54"/>
      <c r="AB63" s="54"/>
      <c r="AC63" s="54"/>
      <c r="AD63" s="54"/>
      <c r="AE63" s="54"/>
    </row>
    <row r="64" spans="1:31" s="190" customFormat="1">
      <c r="A64" s="1722" t="s">
        <v>6913</v>
      </c>
      <c r="B64" s="1722"/>
      <c r="C64" s="1722"/>
      <c r="D64" s="1722"/>
      <c r="E64" s="1722"/>
      <c r="F64" s="1722"/>
      <c r="G64" s="253">
        <v>0</v>
      </c>
      <c r="P64" s="54"/>
      <c r="Q64" s="54"/>
      <c r="R64" s="54"/>
      <c r="S64" s="54"/>
      <c r="T64" s="54"/>
      <c r="U64" s="54"/>
      <c r="V64" s="54"/>
      <c r="W64" s="54"/>
      <c r="X64" s="54"/>
      <c r="Y64" s="54"/>
      <c r="Z64" s="54"/>
      <c r="AA64" s="54"/>
      <c r="AB64" s="54"/>
      <c r="AC64" s="54"/>
      <c r="AD64" s="54"/>
      <c r="AE64" s="54"/>
    </row>
    <row r="65" spans="1:31" s="190" customFormat="1">
      <c r="A65" s="1722" t="s">
        <v>6912</v>
      </c>
      <c r="B65" s="1722"/>
      <c r="C65" s="1722"/>
      <c r="D65" s="1722"/>
      <c r="E65" s="1722"/>
      <c r="F65" s="1722"/>
      <c r="G65" s="253">
        <v>0</v>
      </c>
      <c r="P65" s="54"/>
      <c r="Q65" s="54"/>
      <c r="R65" s="54"/>
      <c r="S65" s="54"/>
      <c r="T65" s="54"/>
      <c r="U65" s="54"/>
      <c r="V65" s="54"/>
      <c r="W65" s="54"/>
      <c r="X65" s="54"/>
      <c r="Y65" s="54"/>
      <c r="Z65" s="54"/>
      <c r="AA65" s="54"/>
      <c r="AB65" s="54"/>
      <c r="AC65" s="54"/>
      <c r="AD65" s="54"/>
      <c r="AE65" s="54"/>
    </row>
    <row r="66" spans="1:31" s="190" customFormat="1">
      <c r="A66" s="1722" t="s">
        <v>6911</v>
      </c>
      <c r="B66" s="1722"/>
      <c r="C66" s="1722"/>
      <c r="D66" s="1722"/>
      <c r="E66" s="1722"/>
      <c r="F66" s="1722"/>
      <c r="G66" s="253">
        <v>0</v>
      </c>
      <c r="P66" s="54"/>
      <c r="Q66" s="54"/>
      <c r="R66" s="54"/>
      <c r="S66" s="54"/>
      <c r="T66" s="54"/>
      <c r="U66" s="54"/>
      <c r="V66" s="54"/>
      <c r="W66" s="54"/>
      <c r="X66" s="54"/>
      <c r="Y66" s="54"/>
      <c r="Z66" s="54"/>
      <c r="AA66" s="54"/>
      <c r="AB66" s="54"/>
      <c r="AC66" s="54"/>
      <c r="AD66" s="54"/>
      <c r="AE66" s="54"/>
    </row>
    <row r="67" spans="1:31">
      <c r="A67" s="1722" t="s">
        <v>6910</v>
      </c>
      <c r="B67" s="1722"/>
      <c r="C67" s="1722"/>
      <c r="D67" s="1722"/>
      <c r="E67" s="1722"/>
      <c r="F67" s="1722"/>
      <c r="G67" s="253">
        <v>0</v>
      </c>
    </row>
    <row r="70" spans="1:31" s="190" customFormat="1">
      <c r="A70" s="1595" t="s">
        <v>508</v>
      </c>
      <c r="B70" s="1595"/>
      <c r="C70" s="1595"/>
      <c r="D70" s="1595"/>
      <c r="E70" s="1595"/>
      <c r="F70" s="1595"/>
      <c r="G70" s="1595"/>
      <c r="H70" s="1595"/>
      <c r="P70" s="54"/>
      <c r="Q70" s="54"/>
      <c r="R70" s="54"/>
      <c r="S70" s="54"/>
      <c r="T70" s="54"/>
      <c r="U70" s="54"/>
      <c r="V70" s="54"/>
      <c r="W70" s="54"/>
      <c r="X70" s="54"/>
      <c r="Y70" s="54"/>
      <c r="Z70" s="54"/>
      <c r="AA70" s="54"/>
      <c r="AB70" s="54"/>
      <c r="AC70" s="54"/>
      <c r="AD70" s="54"/>
      <c r="AE70" s="54"/>
    </row>
    <row r="71" spans="1:31" s="190" customFormat="1">
      <c r="A71" s="1595" t="s">
        <v>920</v>
      </c>
      <c r="B71" s="1595"/>
      <c r="C71" s="1595"/>
      <c r="D71" s="1595"/>
      <c r="E71" s="1595"/>
      <c r="F71" s="1595"/>
      <c r="G71" s="1595"/>
      <c r="H71" s="253">
        <v>0</v>
      </c>
      <c r="P71" s="54"/>
      <c r="Q71" s="54"/>
      <c r="R71" s="54"/>
      <c r="S71" s="54"/>
      <c r="T71" s="54"/>
      <c r="U71" s="54"/>
      <c r="V71" s="54"/>
      <c r="W71" s="54"/>
      <c r="X71" s="54"/>
      <c r="Y71" s="54"/>
      <c r="Z71" s="54"/>
      <c r="AA71" s="54"/>
      <c r="AB71" s="54"/>
      <c r="AC71" s="54"/>
      <c r="AD71" s="54"/>
      <c r="AE71" s="54"/>
    </row>
    <row r="72" spans="1:31" s="190" customFormat="1">
      <c r="A72" s="1339" t="s">
        <v>921</v>
      </c>
      <c r="B72" s="1339"/>
      <c r="C72" s="1339"/>
      <c r="D72" s="1339"/>
      <c r="E72" s="1339"/>
      <c r="F72" s="1339"/>
      <c r="G72" s="1339"/>
      <c r="H72" s="253">
        <v>0</v>
      </c>
      <c r="P72" s="54"/>
      <c r="Q72" s="54"/>
      <c r="R72" s="54"/>
      <c r="S72" s="54"/>
      <c r="T72" s="54"/>
      <c r="U72" s="54"/>
      <c r="V72" s="54"/>
      <c r="W72" s="54"/>
      <c r="X72" s="54"/>
      <c r="Y72" s="54"/>
      <c r="Z72" s="54"/>
      <c r="AA72" s="54"/>
      <c r="AB72" s="54"/>
      <c r="AC72" s="54"/>
      <c r="AD72" s="54"/>
      <c r="AE72" s="54"/>
    </row>
    <row r="73" spans="1:31" s="190" customFormat="1">
      <c r="A73" s="1595" t="s">
        <v>752</v>
      </c>
      <c r="B73" s="1595"/>
      <c r="C73" s="1595"/>
      <c r="D73" s="1595"/>
      <c r="E73" s="1595"/>
      <c r="F73" s="1595"/>
      <c r="G73" s="1595"/>
      <c r="H73" s="253">
        <v>0</v>
      </c>
      <c r="P73" s="54"/>
      <c r="Q73" s="54"/>
      <c r="R73" s="54"/>
      <c r="S73" s="54"/>
      <c r="T73" s="54"/>
      <c r="U73" s="54"/>
      <c r="V73" s="54"/>
      <c r="W73" s="54"/>
      <c r="X73" s="54"/>
      <c r="Y73" s="54"/>
      <c r="Z73" s="54"/>
      <c r="AA73" s="54"/>
      <c r="AB73" s="54"/>
      <c r="AC73" s="54"/>
      <c r="AD73" s="54"/>
      <c r="AE73" s="54"/>
    </row>
    <row r="74" spans="1:31" s="190" customFormat="1">
      <c r="A74" s="1339" t="s">
        <v>880</v>
      </c>
      <c r="B74" s="1339"/>
      <c r="C74" s="1339"/>
      <c r="D74" s="1339"/>
      <c r="E74" s="1339"/>
      <c r="F74" s="1339"/>
      <c r="G74" s="1339"/>
      <c r="H74" s="253">
        <v>0</v>
      </c>
      <c r="P74" s="54"/>
      <c r="Q74" s="54"/>
      <c r="R74" s="54"/>
      <c r="S74" s="54"/>
      <c r="T74" s="54"/>
      <c r="U74" s="54"/>
      <c r="V74" s="54"/>
      <c r="W74" s="54"/>
      <c r="X74" s="54"/>
      <c r="Y74" s="54"/>
      <c r="Z74" s="54"/>
      <c r="AA74" s="54"/>
      <c r="AB74" s="54"/>
      <c r="AC74" s="54"/>
      <c r="AD74" s="54"/>
      <c r="AE74" s="54"/>
    </row>
    <row r="75" spans="1:31" s="190" customFormat="1">
      <c r="A75" s="1339" t="s">
        <v>882</v>
      </c>
      <c r="B75" s="1339"/>
      <c r="C75" s="1339"/>
      <c r="D75" s="1339"/>
      <c r="E75" s="1339"/>
      <c r="F75" s="1339"/>
      <c r="G75" s="1339"/>
      <c r="H75" s="253">
        <v>0</v>
      </c>
      <c r="P75" s="54"/>
      <c r="Q75" s="54"/>
      <c r="R75" s="54"/>
      <c r="S75" s="54"/>
      <c r="T75" s="54"/>
      <c r="U75" s="54"/>
      <c r="V75" s="54"/>
      <c r="W75" s="54"/>
      <c r="X75" s="54"/>
      <c r="Y75" s="54"/>
      <c r="Z75" s="54"/>
      <c r="AA75" s="54"/>
      <c r="AB75" s="54"/>
      <c r="AC75" s="54"/>
      <c r="AD75" s="54"/>
      <c r="AE75" s="54"/>
    </row>
    <row r="76" spans="1:31" s="190" customFormat="1">
      <c r="A76" s="1339" t="s">
        <v>922</v>
      </c>
      <c r="B76" s="1339"/>
      <c r="C76" s="1339"/>
      <c r="D76" s="1339"/>
      <c r="E76" s="1339"/>
      <c r="F76" s="1339"/>
      <c r="G76" s="1339"/>
      <c r="H76" s="253">
        <v>0</v>
      </c>
      <c r="P76" s="54"/>
      <c r="Q76" s="54"/>
      <c r="R76" s="54"/>
      <c r="S76" s="54"/>
      <c r="T76" s="54"/>
      <c r="U76" s="54"/>
      <c r="V76" s="54"/>
      <c r="W76" s="54"/>
      <c r="X76" s="54"/>
      <c r="Y76" s="54"/>
      <c r="Z76" s="54"/>
      <c r="AA76" s="54"/>
      <c r="AB76" s="54"/>
      <c r="AC76" s="54"/>
      <c r="AD76" s="54"/>
      <c r="AE76" s="54"/>
    </row>
  </sheetData>
  <mergeCells count="227">
    <mergeCell ref="V5:W6"/>
    <mergeCell ref="V7:W7"/>
    <mergeCell ref="A1:D1"/>
    <mergeCell ref="A2:U2"/>
    <mergeCell ref="Y2:Z2"/>
    <mergeCell ref="N3:O3"/>
    <mergeCell ref="Y3:Z3"/>
    <mergeCell ref="A4:A36"/>
    <mergeCell ref="B4:O4"/>
    <mergeCell ref="Q4:Z4"/>
    <mergeCell ref="S5:U6"/>
    <mergeCell ref="J7:J8"/>
    <mergeCell ref="K7:K8"/>
    <mergeCell ref="L7:L8"/>
    <mergeCell ref="C5:I5"/>
    <mergeCell ref="Q5:R6"/>
    <mergeCell ref="S7:U7"/>
    <mergeCell ref="O7:O8"/>
    <mergeCell ref="Q7:R7"/>
    <mergeCell ref="X5:X6"/>
    <mergeCell ref="Z8:Z9"/>
    <mergeCell ref="C10:I10"/>
    <mergeCell ref="J10:J14"/>
    <mergeCell ref="K10:K14"/>
    <mergeCell ref="C8:I8"/>
    <mergeCell ref="Q8:R9"/>
    <mergeCell ref="Y5:Z5"/>
    <mergeCell ref="B6:O6"/>
    <mergeCell ref="C7:I7"/>
    <mergeCell ref="B9:O9"/>
    <mergeCell ref="N7:N8"/>
    <mergeCell ref="S8:U9"/>
    <mergeCell ref="V8:W9"/>
    <mergeCell ref="X8:X9"/>
    <mergeCell ref="Y8:Y9"/>
    <mergeCell ref="L16:L17"/>
    <mergeCell ref="Q16:R16"/>
    <mergeCell ref="S16:U16"/>
    <mergeCell ref="V14:W14"/>
    <mergeCell ref="V10:W10"/>
    <mergeCell ref="C11:I11"/>
    <mergeCell ref="Q11:Z11"/>
    <mergeCell ref="C12:I12"/>
    <mergeCell ref="S10:U10"/>
    <mergeCell ref="Q15:R15"/>
    <mergeCell ref="C13:I13"/>
    <mergeCell ref="C14:I14"/>
    <mergeCell ref="Q14:R14"/>
    <mergeCell ref="Y12:Y13"/>
    <mergeCell ref="Q10:R10"/>
    <mergeCell ref="B15:O15"/>
    <mergeCell ref="X12:X13"/>
    <mergeCell ref="Z12:Z13"/>
    <mergeCell ref="V12:W13"/>
    <mergeCell ref="S14:U14"/>
    <mergeCell ref="S12:U13"/>
    <mergeCell ref="V16:W16"/>
    <mergeCell ref="C16:I16"/>
    <mergeCell ref="Q12:R13"/>
    <mergeCell ref="S15:U15"/>
    <mergeCell ref="V15:W15"/>
    <mergeCell ref="L10:L14"/>
    <mergeCell ref="C17:I17"/>
    <mergeCell ref="Q17:R17"/>
    <mergeCell ref="S17:U17"/>
    <mergeCell ref="V17:W17"/>
    <mergeCell ref="B18:O18"/>
    <mergeCell ref="Q18:R18"/>
    <mergeCell ref="S18:U18"/>
    <mergeCell ref="V18:W18"/>
    <mergeCell ref="J16:J17"/>
    <mergeCell ref="K16:K17"/>
    <mergeCell ref="C19:I19"/>
    <mergeCell ref="Q19:Z19"/>
    <mergeCell ref="B20:O20"/>
    <mergeCell ref="Q20:R20"/>
    <mergeCell ref="S20:U20"/>
    <mergeCell ref="V20:W20"/>
    <mergeCell ref="Y20:Z20"/>
    <mergeCell ref="C21:I21"/>
    <mergeCell ref="Q21:R21"/>
    <mergeCell ref="S21:U21"/>
    <mergeCell ref="V21:W21"/>
    <mergeCell ref="Y21:Z21"/>
    <mergeCell ref="B22:O22"/>
    <mergeCell ref="Q22:R23"/>
    <mergeCell ref="S22:U23"/>
    <mergeCell ref="V22:W22"/>
    <mergeCell ref="Y22:Z22"/>
    <mergeCell ref="C23:I23"/>
    <mergeCell ref="V23:W23"/>
    <mergeCell ref="Y23:Z23"/>
    <mergeCell ref="B24:O24"/>
    <mergeCell ref="Q24:R25"/>
    <mergeCell ref="S24:U25"/>
    <mergeCell ref="V24:W25"/>
    <mergeCell ref="X24:X25"/>
    <mergeCell ref="Y24:Z25"/>
    <mergeCell ref="C25:I25"/>
    <mergeCell ref="B26:O26"/>
    <mergeCell ref="Q26:R26"/>
    <mergeCell ref="S26:U26"/>
    <mergeCell ref="V26:W26"/>
    <mergeCell ref="Y26:Z26"/>
    <mergeCell ref="C27:I27"/>
    <mergeCell ref="Q27:R29"/>
    <mergeCell ref="S27:U29"/>
    <mergeCell ref="V27:W27"/>
    <mergeCell ref="Y27:Z27"/>
    <mergeCell ref="G32:J32"/>
    <mergeCell ref="L32:M32"/>
    <mergeCell ref="B28:O28"/>
    <mergeCell ref="V28:W28"/>
    <mergeCell ref="Y28:Z28"/>
    <mergeCell ref="C29:I29"/>
    <mergeCell ref="V29:W29"/>
    <mergeCell ref="Y29:Z29"/>
    <mergeCell ref="S33:U33"/>
    <mergeCell ref="V33:W33"/>
    <mergeCell ref="N30:O30"/>
    <mergeCell ref="Q30:Z30"/>
    <mergeCell ref="B31:F32"/>
    <mergeCell ref="G31:O31"/>
    <mergeCell ref="Q31:R31"/>
    <mergeCell ref="S31:U31"/>
    <mergeCell ref="V31:W31"/>
    <mergeCell ref="Y31:Z31"/>
    <mergeCell ref="N34:O34"/>
    <mergeCell ref="S34:U34"/>
    <mergeCell ref="N32:O32"/>
    <mergeCell ref="Q32:X32"/>
    <mergeCell ref="B33:C33"/>
    <mergeCell ref="D33:F33"/>
    <mergeCell ref="G33:J33"/>
    <mergeCell ref="L33:M33"/>
    <mergeCell ref="N33:O33"/>
    <mergeCell ref="Q33:R34"/>
    <mergeCell ref="V34:W34"/>
    <mergeCell ref="B35:O35"/>
    <mergeCell ref="Q35:R35"/>
    <mergeCell ref="S35:U35"/>
    <mergeCell ref="V35:W35"/>
    <mergeCell ref="Y35:Z35"/>
    <mergeCell ref="B34:C34"/>
    <mergeCell ref="D34:F34"/>
    <mergeCell ref="G34:J34"/>
    <mergeCell ref="L34:M34"/>
    <mergeCell ref="Q36:R36"/>
    <mergeCell ref="S36:U38"/>
    <mergeCell ref="V36:W36"/>
    <mergeCell ref="Q37:R37"/>
    <mergeCell ref="V37:W37"/>
    <mergeCell ref="N38:O38"/>
    <mergeCell ref="Q38:R38"/>
    <mergeCell ref="V38:W38"/>
    <mergeCell ref="Q39:R39"/>
    <mergeCell ref="S39:U40"/>
    <mergeCell ref="V39:W39"/>
    <mergeCell ref="N40:N41"/>
    <mergeCell ref="O40:O41"/>
    <mergeCell ref="Q40:R40"/>
    <mergeCell ref="V40:W40"/>
    <mergeCell ref="K40:K41"/>
    <mergeCell ref="L40:L41"/>
    <mergeCell ref="M40:M41"/>
    <mergeCell ref="A39:C41"/>
    <mergeCell ref="D39:D41"/>
    <mergeCell ref="E39:O39"/>
    <mergeCell ref="H42:H43"/>
    <mergeCell ref="I42:I43"/>
    <mergeCell ref="J42:J43"/>
    <mergeCell ref="Y39:Z39"/>
    <mergeCell ref="E40:E41"/>
    <mergeCell ref="F40:F41"/>
    <mergeCell ref="G40:G41"/>
    <mergeCell ref="H40:H41"/>
    <mergeCell ref="I40:I41"/>
    <mergeCell ref="J40:J41"/>
    <mergeCell ref="N42:N43"/>
    <mergeCell ref="O42:O43"/>
    <mergeCell ref="Q42:U42"/>
    <mergeCell ref="Y40:Z40"/>
    <mergeCell ref="Q41:Z41"/>
    <mergeCell ref="A42:C43"/>
    <mergeCell ref="D42:D43"/>
    <mergeCell ref="E42:E43"/>
    <mergeCell ref="F42:F43"/>
    <mergeCell ref="G42:G43"/>
    <mergeCell ref="V42:W42"/>
    <mergeCell ref="Y42:Z42"/>
    <mergeCell ref="Q43:U43"/>
    <mergeCell ref="V43:W43"/>
    <mergeCell ref="Y43:Z43"/>
    <mergeCell ref="A44:C44"/>
    <mergeCell ref="Q44:Z44"/>
    <mergeCell ref="K42:K43"/>
    <mergeCell ref="L42:L43"/>
    <mergeCell ref="M42:M43"/>
    <mergeCell ref="A45:C45"/>
    <mergeCell ref="Q45:Z45"/>
    <mergeCell ref="A46:C46"/>
    <mergeCell ref="Q46:Z46"/>
    <mergeCell ref="A47:C47"/>
    <mergeCell ref="Q47:Z48"/>
    <mergeCell ref="A48:C48"/>
    <mergeCell ref="A53:G53"/>
    <mergeCell ref="A54:F54"/>
    <mergeCell ref="A55:F55"/>
    <mergeCell ref="A56:F56"/>
    <mergeCell ref="A57:F57"/>
    <mergeCell ref="A58:F58"/>
    <mergeCell ref="A59:F59"/>
    <mergeCell ref="A60:F60"/>
    <mergeCell ref="A61:F61"/>
    <mergeCell ref="A62:F62"/>
    <mergeCell ref="A63:F63"/>
    <mergeCell ref="A64:F64"/>
    <mergeCell ref="A74:G74"/>
    <mergeCell ref="A75:G75"/>
    <mergeCell ref="A76:G76"/>
    <mergeCell ref="A65:F65"/>
    <mergeCell ref="A66:F66"/>
    <mergeCell ref="A70:H70"/>
    <mergeCell ref="A71:G71"/>
    <mergeCell ref="A72:G72"/>
    <mergeCell ref="A73:G73"/>
    <mergeCell ref="A67:F67"/>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51" orientation="landscape" horizontalDpi="300" verticalDpi="300" r:id="rId1"/>
  <headerFooter scaleWithDoc="0">
    <oddHeader xml:space="preserve">&amp;L&amp;G&amp;R&amp;5Центр поддержки клиентов Grand Line: +7 (495) 748-38-38
cайт: www.grandline.ru   </oddHeader>
    <oddFooter>&amp;R&amp;5Страница 7</oddFooter>
  </headerFooter>
  <drawing r:id="rId2"/>
  <legacy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Y70"/>
  <sheetViews>
    <sheetView zoomScale="70" zoomScaleNormal="70" workbookViewId="0">
      <selection activeCell="A2" sqref="A2:T2"/>
    </sheetView>
  </sheetViews>
  <sheetFormatPr defaultRowHeight="12.75"/>
  <cols>
    <col min="1" max="1" width="12.85546875" style="54" customWidth="1"/>
    <col min="2" max="2" width="14" style="190" customWidth="1"/>
    <col min="3" max="6" width="13.7109375" style="190" customWidth="1"/>
    <col min="7" max="7" width="16" style="190" customWidth="1"/>
    <col min="8" max="8" width="11.7109375" style="190" customWidth="1"/>
    <col min="9" max="9" width="10.140625" style="190" customWidth="1"/>
    <col min="10" max="10" width="10.28515625" style="190" customWidth="1"/>
    <col min="11" max="11" width="10.140625" style="190" customWidth="1"/>
    <col min="12" max="12" width="9.85546875" style="190" customWidth="1"/>
    <col min="13" max="13" width="9.140625" style="190" customWidth="1"/>
    <col min="14" max="14" width="10.42578125" style="190" customWidth="1"/>
    <col min="15" max="15" width="11" style="190" customWidth="1"/>
    <col min="16" max="16" width="2.42578125" style="54" customWidth="1"/>
    <col min="17" max="18" width="20.42578125" style="54" customWidth="1"/>
    <col min="19" max="21" width="8.42578125" style="54" customWidth="1"/>
    <col min="22" max="23" width="13.85546875" style="54" customWidth="1"/>
    <col min="24" max="24" width="12.140625" style="54" customWidth="1"/>
    <col min="25" max="25" width="9.85546875" style="54" customWidth="1"/>
    <col min="26" max="16384" width="9.140625" style="54"/>
  </cols>
  <sheetData>
    <row r="1" spans="1:25">
      <c r="A1" s="1666" t="s">
        <v>312</v>
      </c>
      <c r="B1" s="1666"/>
      <c r="C1" s="1666"/>
      <c r="D1" s="1666"/>
      <c r="E1" s="1"/>
      <c r="F1" s="1"/>
      <c r="G1" s="1"/>
      <c r="H1" s="1"/>
      <c r="J1" s="1"/>
      <c r="K1" s="1"/>
      <c r="L1" s="1"/>
      <c r="M1" s="1"/>
      <c r="N1" s="1"/>
      <c r="O1" s="1"/>
      <c r="P1" s="46"/>
      <c r="Q1" s="46"/>
      <c r="R1" s="46"/>
      <c r="S1" s="46"/>
      <c r="T1" s="46"/>
    </row>
    <row r="2" spans="1:25" ht="20.25" customHeight="1" thickBot="1">
      <c r="A2" s="1763" t="s">
        <v>923</v>
      </c>
      <c r="B2" s="1763"/>
      <c r="C2" s="1763"/>
      <c r="D2" s="1763"/>
      <c r="E2" s="1763"/>
      <c r="F2" s="1763"/>
      <c r="G2" s="1763"/>
      <c r="H2" s="1763"/>
      <c r="I2" s="1763"/>
      <c r="J2" s="1763"/>
      <c r="K2" s="1763"/>
      <c r="L2" s="1763"/>
      <c r="M2" s="1763"/>
      <c r="N2" s="1763"/>
      <c r="O2" s="1763"/>
      <c r="P2" s="1763"/>
      <c r="Q2" s="1763"/>
      <c r="R2" s="1763"/>
      <c r="S2" s="1763"/>
      <c r="T2" s="1763"/>
      <c r="U2" s="739"/>
      <c r="V2" s="739"/>
      <c r="W2" s="737" t="s">
        <v>313</v>
      </c>
      <c r="X2" s="1492">
        <v>43276</v>
      </c>
      <c r="Y2" s="1493"/>
    </row>
    <row r="3" spans="1:25" ht="12.75" customHeight="1">
      <c r="B3" s="238"/>
      <c r="C3" s="238"/>
      <c r="D3" s="238"/>
      <c r="E3" s="238"/>
      <c r="F3" s="238"/>
      <c r="G3" s="238"/>
      <c r="H3" s="238"/>
      <c r="I3" s="238"/>
      <c r="J3" s="238"/>
      <c r="K3" s="238"/>
      <c r="Q3" s="240"/>
      <c r="R3" s="240"/>
      <c r="S3" s="240"/>
      <c r="T3" s="240"/>
      <c r="U3" s="240"/>
      <c r="V3" s="190"/>
      <c r="W3" s="241" t="s">
        <v>804</v>
      </c>
      <c r="X3" s="1679">
        <v>43276</v>
      </c>
      <c r="Y3" s="1679"/>
    </row>
    <row r="4" spans="1:25" ht="32.25" customHeight="1">
      <c r="A4" s="1452" t="s">
        <v>807</v>
      </c>
      <c r="B4" s="1478"/>
      <c r="C4" s="1794" t="s">
        <v>924</v>
      </c>
      <c r="D4" s="1794"/>
      <c r="E4" s="1794"/>
      <c r="F4" s="1794"/>
      <c r="G4" s="1794"/>
      <c r="H4" s="1794"/>
      <c r="I4" s="1794"/>
      <c r="J4" s="126" t="s">
        <v>808</v>
      </c>
      <c r="K4" s="126" t="s">
        <v>809</v>
      </c>
      <c r="L4" s="126" t="s">
        <v>810</v>
      </c>
      <c r="M4" s="126" t="s">
        <v>925</v>
      </c>
      <c r="N4" s="40" t="s">
        <v>319</v>
      </c>
      <c r="O4" s="40" t="s">
        <v>926</v>
      </c>
      <c r="Q4" s="1452" t="s">
        <v>307</v>
      </c>
      <c r="R4" s="1478"/>
      <c r="S4" s="1452" t="s">
        <v>812</v>
      </c>
      <c r="T4" s="1477"/>
      <c r="U4" s="1478"/>
      <c r="V4" s="1452" t="s">
        <v>284</v>
      </c>
      <c r="W4" s="1478"/>
      <c r="X4" s="40" t="s">
        <v>927</v>
      </c>
      <c r="Y4" s="40" t="s">
        <v>926</v>
      </c>
    </row>
    <row r="5" spans="1:25">
      <c r="A5" s="1629" t="s">
        <v>928</v>
      </c>
      <c r="B5" s="1629"/>
      <c r="C5" s="1629"/>
      <c r="D5" s="1629"/>
      <c r="E5" s="1629"/>
      <c r="F5" s="1629"/>
      <c r="G5" s="1629"/>
      <c r="H5" s="1629"/>
      <c r="I5" s="1629"/>
      <c r="J5" s="1629"/>
      <c r="K5" s="1629"/>
      <c r="L5" s="1629"/>
      <c r="M5" s="1629"/>
      <c r="N5" s="1629"/>
      <c r="O5" s="1629"/>
      <c r="Q5" s="1351" t="s">
        <v>929</v>
      </c>
      <c r="R5" s="1351"/>
      <c r="S5" s="1530" t="s">
        <v>3615</v>
      </c>
      <c r="T5" s="1530"/>
      <c r="U5" s="1530"/>
      <c r="V5" s="1530" t="s">
        <v>833</v>
      </c>
      <c r="W5" s="1530"/>
      <c r="X5" s="235">
        <f>Y5/0.3</f>
        <v>983.33333333333337</v>
      </c>
      <c r="Y5" s="299">
        <f>ROUND(295*Belarus*(1-G64),2)</f>
        <v>295</v>
      </c>
    </row>
    <row r="6" spans="1:25" ht="15" customHeight="1">
      <c r="A6" s="1332" t="s">
        <v>930</v>
      </c>
      <c r="B6" s="1332"/>
      <c r="C6" s="1824" t="s">
        <v>931</v>
      </c>
      <c r="D6" s="1824"/>
      <c r="E6" s="1824"/>
      <c r="F6" s="1824"/>
      <c r="G6" s="1824"/>
      <c r="H6" s="1824"/>
      <c r="I6" s="1824"/>
      <c r="J6" s="101">
        <v>3</v>
      </c>
      <c r="K6" s="101">
        <v>25</v>
      </c>
      <c r="L6" s="103" t="s">
        <v>817</v>
      </c>
      <c r="M6" s="1766">
        <v>1</v>
      </c>
      <c r="N6" s="299">
        <f>ROUND(525*Belarus*(1-G55),2)</f>
        <v>525</v>
      </c>
      <c r="O6" s="235">
        <f t="shared" ref="O6:O13" si="0">N6*3</f>
        <v>1575</v>
      </c>
      <c r="Q6" s="1351" t="s">
        <v>932</v>
      </c>
      <c r="R6" s="1351"/>
      <c r="S6" s="1530" t="s">
        <v>933</v>
      </c>
      <c r="T6" s="1530"/>
      <c r="U6" s="1530"/>
      <c r="V6" s="1530" t="s">
        <v>833</v>
      </c>
      <c r="W6" s="1530"/>
      <c r="X6" s="235">
        <f>Y6/2.5</f>
        <v>468</v>
      </c>
      <c r="Y6" s="299">
        <f>ROUND(1170*Belarus*(1-G64),2)</f>
        <v>1170</v>
      </c>
    </row>
    <row r="7" spans="1:25" ht="15" customHeight="1">
      <c r="A7" s="1332"/>
      <c r="B7" s="1332"/>
      <c r="C7" s="1824" t="s">
        <v>934</v>
      </c>
      <c r="D7" s="1824"/>
      <c r="E7" s="1824"/>
      <c r="F7" s="1824"/>
      <c r="G7" s="1824"/>
      <c r="H7" s="1824"/>
      <c r="I7" s="1824"/>
      <c r="J7" s="101">
        <v>3</v>
      </c>
      <c r="K7" s="101">
        <v>25</v>
      </c>
      <c r="L7" s="103" t="s">
        <v>817</v>
      </c>
      <c r="M7" s="1443"/>
      <c r="N7" s="235">
        <f>ROUND(615*Belarus*(1-G55),2)</f>
        <v>615</v>
      </c>
      <c r="O7" s="235">
        <f t="shared" si="0"/>
        <v>1845</v>
      </c>
      <c r="Q7" s="1351" t="s">
        <v>932</v>
      </c>
      <c r="R7" s="1351"/>
      <c r="S7" s="1530" t="s">
        <v>935</v>
      </c>
      <c r="T7" s="1530"/>
      <c r="U7" s="1530"/>
      <c r="V7" s="1530" t="s">
        <v>833</v>
      </c>
      <c r="W7" s="1530"/>
      <c r="X7" s="235">
        <f>Y7/5</f>
        <v>353</v>
      </c>
      <c r="Y7" s="299">
        <f>ROUND(1765*Belarus*(1-G64),2)</f>
        <v>1765</v>
      </c>
    </row>
    <row r="8" spans="1:25" ht="15" customHeight="1">
      <c r="A8" s="1332" t="s">
        <v>936</v>
      </c>
      <c r="B8" s="1332"/>
      <c r="C8" s="1716" t="s">
        <v>937</v>
      </c>
      <c r="D8" s="1716"/>
      <c r="E8" s="1716"/>
      <c r="F8" s="1716"/>
      <c r="G8" s="1716"/>
      <c r="H8" s="1716"/>
      <c r="I8" s="1716"/>
      <c r="J8" s="101">
        <v>3</v>
      </c>
      <c r="K8" s="101">
        <v>25</v>
      </c>
      <c r="L8" s="103" t="s">
        <v>817</v>
      </c>
      <c r="M8" s="101">
        <v>1</v>
      </c>
      <c r="N8" s="299">
        <f>ROUND(605*Belarus*(1-G56),2)</f>
        <v>605</v>
      </c>
      <c r="O8" s="235">
        <f t="shared" si="0"/>
        <v>1815</v>
      </c>
      <c r="Q8" s="1351" t="s">
        <v>932</v>
      </c>
      <c r="R8" s="1351"/>
      <c r="S8" s="1530" t="s">
        <v>938</v>
      </c>
      <c r="T8" s="1530"/>
      <c r="U8" s="1530"/>
      <c r="V8" s="1530" t="s">
        <v>833</v>
      </c>
      <c r="W8" s="1530"/>
      <c r="X8" s="235">
        <f>Y8/10</f>
        <v>306.5</v>
      </c>
      <c r="Y8" s="299">
        <f>ROUND(3065*Belarus*(1-G64),2)</f>
        <v>3065</v>
      </c>
    </row>
    <row r="9" spans="1:25" ht="29.25" customHeight="1">
      <c r="A9" s="1332" t="s">
        <v>944</v>
      </c>
      <c r="B9" s="1332"/>
      <c r="C9" s="1716" t="s">
        <v>941</v>
      </c>
      <c r="D9" s="1716"/>
      <c r="E9" s="1716"/>
      <c r="F9" s="1716"/>
      <c r="G9" s="1716"/>
      <c r="H9" s="1716"/>
      <c r="I9" s="1716"/>
      <c r="J9" s="101">
        <v>3</v>
      </c>
      <c r="K9" s="101">
        <v>25</v>
      </c>
      <c r="L9" s="103" t="s">
        <v>817</v>
      </c>
      <c r="M9" s="101">
        <v>1</v>
      </c>
      <c r="N9" s="299">
        <f>ROUND(595*Belarus*(1-G58),2)</f>
        <v>595</v>
      </c>
      <c r="O9" s="235">
        <f t="shared" si="0"/>
        <v>1785</v>
      </c>
      <c r="Q9" s="1812" t="s">
        <v>826</v>
      </c>
      <c r="R9" s="1813"/>
      <c r="S9" s="1813"/>
      <c r="T9" s="1813"/>
      <c r="U9" s="1813"/>
      <c r="V9" s="1813"/>
      <c r="W9" s="1814"/>
      <c r="X9" s="254" t="s">
        <v>319</v>
      </c>
      <c r="Y9" s="254" t="s">
        <v>926</v>
      </c>
    </row>
    <row r="10" spans="1:25" ht="17.25" customHeight="1">
      <c r="A10" s="1786" t="s">
        <v>939</v>
      </c>
      <c r="B10" s="1788"/>
      <c r="C10" s="1716" t="s">
        <v>940</v>
      </c>
      <c r="D10" s="1716"/>
      <c r="E10" s="1716"/>
      <c r="F10" s="1716"/>
      <c r="G10" s="1716"/>
      <c r="H10" s="1716"/>
      <c r="I10" s="1716"/>
      <c r="J10" s="101">
        <v>3</v>
      </c>
      <c r="K10" s="101">
        <v>25</v>
      </c>
      <c r="L10" s="103" t="s">
        <v>817</v>
      </c>
      <c r="M10" s="1766">
        <v>2</v>
      </c>
      <c r="N10" s="299">
        <f>ROUND(745*Belarus*(1-G57),2)</f>
        <v>745</v>
      </c>
      <c r="O10" s="235">
        <f t="shared" si="0"/>
        <v>2235</v>
      </c>
      <c r="Q10" s="1351" t="s">
        <v>942</v>
      </c>
      <c r="R10" s="1351"/>
      <c r="S10" s="1530" t="s">
        <v>943</v>
      </c>
      <c r="T10" s="1530"/>
      <c r="U10" s="1530"/>
      <c r="V10" s="1530" t="s">
        <v>369</v>
      </c>
      <c r="W10" s="1530"/>
      <c r="X10" s="1113">
        <f>Y10/15</f>
        <v>86</v>
      </c>
      <c r="Y10" s="1113">
        <f>ROUND(1290*Belarus*(1-G65),2)</f>
        <v>1290</v>
      </c>
    </row>
    <row r="11" spans="1:25" ht="15" customHeight="1">
      <c r="A11" s="1817"/>
      <c r="B11" s="1818"/>
      <c r="C11" s="1399" t="s">
        <v>941</v>
      </c>
      <c r="D11" s="1819"/>
      <c r="E11" s="1819"/>
      <c r="F11" s="1819"/>
      <c r="G11" s="1819"/>
      <c r="H11" s="1819"/>
      <c r="I11" s="1820"/>
      <c r="J11" s="1766">
        <v>3</v>
      </c>
      <c r="K11" s="1766">
        <v>25</v>
      </c>
      <c r="L11" s="1765" t="s">
        <v>817</v>
      </c>
      <c r="M11" s="1442"/>
      <c r="N11" s="1767">
        <f>ROUND(610*Belarus*(1-G57),2)</f>
        <v>610</v>
      </c>
      <c r="O11" s="1769">
        <f t="shared" si="0"/>
        <v>1830</v>
      </c>
      <c r="Q11" s="1351" t="s">
        <v>6668</v>
      </c>
      <c r="R11" s="1351"/>
      <c r="S11" s="1530" t="s">
        <v>943</v>
      </c>
      <c r="T11" s="1530"/>
      <c r="U11" s="1530"/>
      <c r="V11" s="1530" t="s">
        <v>369</v>
      </c>
      <c r="W11" s="1530"/>
      <c r="X11" s="1113">
        <f>Y11/15</f>
        <v>100</v>
      </c>
      <c r="Y11" s="1113">
        <f>ROUND(1500*Belarus*(1-G66),2)</f>
        <v>1500</v>
      </c>
    </row>
    <row r="12" spans="1:25" ht="26.25" customHeight="1">
      <c r="A12" s="1789"/>
      <c r="B12" s="1791"/>
      <c r="C12" s="1821"/>
      <c r="D12" s="1822"/>
      <c r="E12" s="1822"/>
      <c r="F12" s="1822"/>
      <c r="G12" s="1822"/>
      <c r="H12" s="1822"/>
      <c r="I12" s="1823"/>
      <c r="J12" s="1443"/>
      <c r="K12" s="1443"/>
      <c r="L12" s="1456"/>
      <c r="M12" s="1443"/>
      <c r="N12" s="1768"/>
      <c r="O12" s="1770"/>
      <c r="Q12" s="1351" t="s">
        <v>945</v>
      </c>
      <c r="R12" s="1351"/>
      <c r="S12" s="1530" t="s">
        <v>946</v>
      </c>
      <c r="T12" s="1530"/>
      <c r="U12" s="1530"/>
      <c r="V12" s="1530" t="s">
        <v>369</v>
      </c>
      <c r="W12" s="1530"/>
      <c r="X12" s="1113">
        <f>Y12/40</f>
        <v>126</v>
      </c>
      <c r="Y12" s="1113">
        <f>ROUND(5040*Belarus*(1-G66),2)</f>
        <v>5040</v>
      </c>
    </row>
    <row r="13" spans="1:25" ht="27.75" customHeight="1">
      <c r="A13" s="1332" t="s">
        <v>947</v>
      </c>
      <c r="B13" s="1332"/>
      <c r="C13" s="1716" t="s">
        <v>941</v>
      </c>
      <c r="D13" s="1716"/>
      <c r="E13" s="1716"/>
      <c r="F13" s="1716"/>
      <c r="G13" s="1716"/>
      <c r="H13" s="1716"/>
      <c r="I13" s="1716"/>
      <c r="J13" s="101">
        <v>3</v>
      </c>
      <c r="K13" s="101">
        <v>25</v>
      </c>
      <c r="L13" s="103" t="s">
        <v>817</v>
      </c>
      <c r="M13" s="101">
        <v>2</v>
      </c>
      <c r="N13" s="299">
        <f>ROUND(600*Belarus*(1-G59),2)</f>
        <v>600</v>
      </c>
      <c r="O13" s="235">
        <f t="shared" si="0"/>
        <v>1800</v>
      </c>
      <c r="Q13" s="1812" t="s">
        <v>1025</v>
      </c>
      <c r="R13" s="1813"/>
      <c r="S13" s="1813"/>
      <c r="T13" s="1813"/>
      <c r="U13" s="1813"/>
      <c r="V13" s="1813"/>
      <c r="W13" s="1814"/>
      <c r="X13" s="254" t="s">
        <v>948</v>
      </c>
      <c r="Y13" s="254" t="s">
        <v>926</v>
      </c>
    </row>
    <row r="14" spans="1:25" ht="18" customHeight="1">
      <c r="A14" s="1332" t="s">
        <v>949</v>
      </c>
      <c r="B14" s="1332"/>
      <c r="C14" s="1716" t="s">
        <v>950</v>
      </c>
      <c r="D14" s="1716"/>
      <c r="E14" s="1716"/>
      <c r="F14" s="1716"/>
      <c r="G14" s="1716"/>
      <c r="H14" s="1716"/>
      <c r="I14" s="1716"/>
      <c r="J14" s="101">
        <v>3.5</v>
      </c>
      <c r="K14" s="101">
        <v>25</v>
      </c>
      <c r="L14" s="103" t="s">
        <v>951</v>
      </c>
      <c r="M14" s="101">
        <v>3</v>
      </c>
      <c r="N14" s="299">
        <f>ROUND(785*Belarus*(1-G60),2)</f>
        <v>785</v>
      </c>
      <c r="O14" s="235">
        <f>N14*2.3</f>
        <v>1805.4999999999998</v>
      </c>
      <c r="Q14" s="1327" t="s">
        <v>952</v>
      </c>
      <c r="R14" s="1329"/>
      <c r="S14" s="1468" t="s">
        <v>891</v>
      </c>
      <c r="T14" s="1469"/>
      <c r="U14" s="1527"/>
      <c r="V14" s="1530" t="s">
        <v>369</v>
      </c>
      <c r="W14" s="1530"/>
      <c r="X14" s="299">
        <f>ROUND(173*Belarus*(1-G67),2)</f>
        <v>173</v>
      </c>
      <c r="Y14" s="299">
        <f>X14*5</f>
        <v>865</v>
      </c>
    </row>
    <row r="15" spans="1:25" ht="15" customHeight="1">
      <c r="A15" s="897" t="s">
        <v>953</v>
      </c>
      <c r="B15" s="898"/>
      <c r="C15" s="898"/>
      <c r="D15" s="898"/>
      <c r="E15" s="898"/>
      <c r="F15" s="898"/>
      <c r="G15" s="898"/>
      <c r="H15" s="898"/>
      <c r="I15" s="898"/>
      <c r="J15" s="898"/>
      <c r="K15" s="898"/>
      <c r="L15" s="898"/>
      <c r="M15" s="898"/>
      <c r="N15" s="899"/>
      <c r="O15" s="900"/>
      <c r="Q15" s="1327" t="s">
        <v>893</v>
      </c>
      <c r="R15" s="1329"/>
      <c r="S15" s="1583"/>
      <c r="T15" s="1802"/>
      <c r="U15" s="1584"/>
      <c r="V15" s="1530" t="s">
        <v>369</v>
      </c>
      <c r="W15" s="1530"/>
      <c r="X15" s="299">
        <f>ROUND(177*Belarus*(1-G67),2)</f>
        <v>177</v>
      </c>
      <c r="Y15" s="299">
        <f>X15</f>
        <v>177</v>
      </c>
    </row>
    <row r="16" spans="1:25">
      <c r="A16" s="1786" t="s">
        <v>954</v>
      </c>
      <c r="B16" s="1788"/>
      <c r="C16" s="1716" t="s">
        <v>955</v>
      </c>
      <c r="D16" s="1716"/>
      <c r="E16" s="1716"/>
      <c r="F16" s="1716"/>
      <c r="G16" s="1716"/>
      <c r="H16" s="1716"/>
      <c r="I16" s="1716"/>
      <c r="J16" s="1386">
        <v>3</v>
      </c>
      <c r="K16" s="1386">
        <v>25</v>
      </c>
      <c r="L16" s="1530" t="s">
        <v>956</v>
      </c>
      <c r="M16" s="1530"/>
      <c r="N16" s="1675">
        <f>O16/4</f>
        <v>787.5</v>
      </c>
      <c r="O16" s="1811">
        <f>ROUND(3150*Belarus*(1-G61),2)</f>
        <v>3150</v>
      </c>
      <c r="Q16" s="1812" t="s">
        <v>3616</v>
      </c>
      <c r="R16" s="1813"/>
      <c r="S16" s="1813"/>
      <c r="T16" s="1813"/>
      <c r="U16" s="1813"/>
      <c r="V16" s="1813"/>
      <c r="W16" s="1814"/>
      <c r="X16" s="1815" t="s">
        <v>559</v>
      </c>
      <c r="Y16" s="1816"/>
    </row>
    <row r="17" spans="1:25" ht="27.75" customHeight="1">
      <c r="A17" s="1789"/>
      <c r="B17" s="1791"/>
      <c r="C17" s="1716"/>
      <c r="D17" s="1716"/>
      <c r="E17" s="1716"/>
      <c r="F17" s="1716"/>
      <c r="G17" s="1716"/>
      <c r="H17" s="1716"/>
      <c r="I17" s="1716"/>
      <c r="J17" s="1386"/>
      <c r="K17" s="1386"/>
      <c r="L17" s="1530"/>
      <c r="M17" s="1530"/>
      <c r="N17" s="1675"/>
      <c r="O17" s="1811"/>
      <c r="Q17" s="1351" t="s">
        <v>843</v>
      </c>
      <c r="R17" s="1351"/>
      <c r="S17" s="1530" t="s">
        <v>844</v>
      </c>
      <c r="T17" s="1530"/>
      <c r="U17" s="1530"/>
      <c r="V17" s="1530" t="s">
        <v>833</v>
      </c>
      <c r="W17" s="1530"/>
      <c r="X17" s="1675">
        <f>367*Belarus</f>
        <v>367</v>
      </c>
      <c r="Y17" s="1675"/>
    </row>
    <row r="18" spans="1:25" ht="13.5" customHeight="1">
      <c r="A18" s="894" t="s">
        <v>957</v>
      </c>
      <c r="B18" s="895"/>
      <c r="C18" s="895"/>
      <c r="D18" s="895"/>
      <c r="E18" s="895"/>
      <c r="F18" s="895"/>
      <c r="G18" s="895"/>
      <c r="H18" s="895"/>
      <c r="I18" s="895"/>
      <c r="J18" s="895"/>
      <c r="K18" s="895"/>
      <c r="L18" s="895"/>
      <c r="M18" s="895"/>
      <c r="N18" s="901"/>
      <c r="O18" s="896"/>
      <c r="Q18" s="1409" t="s">
        <v>847</v>
      </c>
      <c r="R18" s="1411"/>
      <c r="S18" s="1755" t="s">
        <v>848</v>
      </c>
      <c r="T18" s="1759"/>
      <c r="U18" s="1756"/>
      <c r="V18" s="1755" t="s">
        <v>833</v>
      </c>
      <c r="W18" s="1756"/>
      <c r="X18" s="1795">
        <f>350*Belarus</f>
        <v>350</v>
      </c>
      <c r="Y18" s="1796"/>
    </row>
    <row r="19" spans="1:25" ht="31.5" customHeight="1">
      <c r="A19" s="1332" t="s">
        <v>958</v>
      </c>
      <c r="B19" s="1332"/>
      <c r="C19" s="1716" t="s">
        <v>955</v>
      </c>
      <c r="D19" s="1716"/>
      <c r="E19" s="1716"/>
      <c r="F19" s="1716"/>
      <c r="G19" s="1716"/>
      <c r="H19" s="1716"/>
      <c r="I19" s="1716"/>
      <c r="J19" s="101">
        <v>3</v>
      </c>
      <c r="K19" s="101">
        <v>25</v>
      </c>
      <c r="L19" s="1755" t="s">
        <v>959</v>
      </c>
      <c r="M19" s="1756"/>
      <c r="N19" s="299">
        <f>O19/7</f>
        <v>592.14285714285711</v>
      </c>
      <c r="O19" s="299">
        <f>ROUND(4145*Belarus*(1-G62),2)</f>
        <v>4145</v>
      </c>
      <c r="Q19" s="1351" t="s">
        <v>849</v>
      </c>
      <c r="R19" s="1351"/>
      <c r="S19" s="1530" t="s">
        <v>850</v>
      </c>
      <c r="T19" s="1530"/>
      <c r="U19" s="1530"/>
      <c r="V19" s="1755" t="s">
        <v>851</v>
      </c>
      <c r="W19" s="1756"/>
      <c r="X19" s="1795">
        <f>1050*Belarus</f>
        <v>1050</v>
      </c>
      <c r="Y19" s="1796"/>
    </row>
    <row r="20" spans="1:25" ht="25.5" customHeight="1">
      <c r="A20" s="1332" t="s">
        <v>960</v>
      </c>
      <c r="B20" s="1332"/>
      <c r="C20" s="1716" t="s">
        <v>950</v>
      </c>
      <c r="D20" s="1716"/>
      <c r="E20" s="1716"/>
      <c r="F20" s="1716"/>
      <c r="G20" s="1716"/>
      <c r="H20" s="1716"/>
      <c r="I20" s="1716"/>
      <c r="J20" s="101">
        <v>3.5</v>
      </c>
      <c r="K20" s="101">
        <v>25</v>
      </c>
      <c r="L20" s="1755" t="s">
        <v>961</v>
      </c>
      <c r="M20" s="1756"/>
      <c r="N20" s="299">
        <f>O20/8</f>
        <v>781.25</v>
      </c>
      <c r="O20" s="299">
        <f>ROUND(6250*Belarus*(1-G63),2)</f>
        <v>6250</v>
      </c>
      <c r="Q20" s="1351"/>
      <c r="R20" s="1351"/>
      <c r="S20" s="1530"/>
      <c r="T20" s="1530"/>
      <c r="U20" s="1530"/>
      <c r="V20" s="1755" t="s">
        <v>853</v>
      </c>
      <c r="W20" s="1756"/>
      <c r="X20" s="1795">
        <f>1400*Belarus</f>
        <v>1400</v>
      </c>
      <c r="Y20" s="1796"/>
    </row>
    <row r="21" spans="1:25" ht="13.5" customHeight="1">
      <c r="A21" s="1491" t="s">
        <v>3550</v>
      </c>
      <c r="B21" s="1800"/>
      <c r="C21" s="1801"/>
      <c r="D21" s="1801"/>
      <c r="E21" s="1801"/>
      <c r="F21" s="1801"/>
      <c r="G21" s="1801"/>
      <c r="H21" s="1801"/>
      <c r="I21" s="1801"/>
      <c r="J21" s="1801"/>
      <c r="K21" s="1801"/>
      <c r="L21" s="1801"/>
      <c r="M21" s="1801"/>
      <c r="N21" s="1801"/>
      <c r="O21" s="1801"/>
      <c r="Q21" s="1418" t="s">
        <v>857</v>
      </c>
      <c r="R21" s="1420"/>
      <c r="S21" s="1468" t="s">
        <v>850</v>
      </c>
      <c r="T21" s="1469"/>
      <c r="U21" s="1527"/>
      <c r="V21" s="1468" t="s">
        <v>858</v>
      </c>
      <c r="W21" s="1527"/>
      <c r="X21" s="1803">
        <f>980*Belarus</f>
        <v>980</v>
      </c>
      <c r="Y21" s="1804"/>
    </row>
    <row r="22" spans="1:25" ht="36" customHeight="1">
      <c r="A22" s="1807"/>
      <c r="B22" s="1807"/>
      <c r="C22" s="1807"/>
      <c r="D22" s="1807"/>
      <c r="E22" s="1807"/>
      <c r="F22" s="1807"/>
      <c r="G22" s="1807"/>
      <c r="H22" s="1807"/>
      <c r="I22" s="1807"/>
      <c r="J22" s="1807"/>
      <c r="K22" s="1807"/>
      <c r="L22" s="1807"/>
      <c r="M22" s="1807"/>
      <c r="N22" s="1807"/>
      <c r="O22" s="1808"/>
      <c r="Q22" s="1424"/>
      <c r="R22" s="1426"/>
      <c r="S22" s="1583"/>
      <c r="T22" s="1802"/>
      <c r="U22" s="1584"/>
      <c r="V22" s="1583"/>
      <c r="W22" s="1584"/>
      <c r="X22" s="1805"/>
      <c r="Y22" s="1806"/>
    </row>
    <row r="23" spans="1:25" ht="27.75" customHeight="1">
      <c r="A23" s="1809"/>
      <c r="B23" s="1809"/>
      <c r="C23" s="1809"/>
      <c r="D23" s="1809"/>
      <c r="E23" s="1809"/>
      <c r="F23" s="1809"/>
      <c r="G23" s="1809"/>
      <c r="H23" s="1809"/>
      <c r="I23" s="1809"/>
      <c r="J23" s="1809"/>
      <c r="K23" s="1809"/>
      <c r="L23" s="1809"/>
      <c r="M23" s="1809"/>
      <c r="N23" s="1809"/>
      <c r="O23" s="1810"/>
      <c r="Q23" s="1418" t="s">
        <v>866</v>
      </c>
      <c r="R23" s="1420"/>
      <c r="S23" s="1468" t="s">
        <v>867</v>
      </c>
      <c r="T23" s="1469"/>
      <c r="U23" s="1527"/>
      <c r="V23" s="1755" t="s">
        <v>851</v>
      </c>
      <c r="W23" s="1756"/>
      <c r="X23" s="1795">
        <f>900*Belarus</f>
        <v>900</v>
      </c>
      <c r="Y23" s="1796"/>
    </row>
    <row r="24" spans="1:25" ht="15" customHeight="1">
      <c r="A24" s="191"/>
      <c r="B24" s="191"/>
      <c r="C24" s="191"/>
      <c r="D24" s="191"/>
      <c r="E24" s="191"/>
      <c r="F24" s="191"/>
      <c r="G24" s="191"/>
      <c r="H24" s="191"/>
      <c r="I24" s="191"/>
      <c r="J24" s="191"/>
      <c r="K24" s="191"/>
      <c r="L24" s="191"/>
      <c r="M24" s="705" t="s">
        <v>804</v>
      </c>
      <c r="N24" s="1797">
        <v>43272</v>
      </c>
      <c r="O24" s="1797"/>
      <c r="Q24" s="1421"/>
      <c r="R24" s="1423"/>
      <c r="S24" s="1471"/>
      <c r="T24" s="1472"/>
      <c r="U24" s="1473"/>
      <c r="V24" s="1755" t="s">
        <v>868</v>
      </c>
      <c r="W24" s="1756"/>
      <c r="X24" s="1795">
        <f>1400*Belarus</f>
        <v>1400</v>
      </c>
      <c r="Y24" s="1796"/>
    </row>
    <row r="25" spans="1:25" ht="12.75" customHeight="1">
      <c r="A25" s="1798" t="s">
        <v>879</v>
      </c>
      <c r="B25" s="1798"/>
      <c r="C25" s="1798"/>
      <c r="D25" s="1798"/>
      <c r="E25" s="1798"/>
      <c r="F25" s="1798"/>
      <c r="G25" s="1799" t="s">
        <v>3617</v>
      </c>
      <c r="H25" s="1799"/>
      <c r="I25" s="1799"/>
      <c r="J25" s="1799"/>
      <c r="K25" s="1799"/>
      <c r="L25" s="1799"/>
      <c r="M25" s="1799"/>
      <c r="N25" s="1799"/>
      <c r="O25" s="1799"/>
      <c r="Q25" s="1424"/>
      <c r="R25" s="1426"/>
      <c r="S25" s="1583"/>
      <c r="T25" s="1802"/>
      <c r="U25" s="1584"/>
      <c r="V25" s="1755" t="s">
        <v>871</v>
      </c>
      <c r="W25" s="1756"/>
      <c r="X25" s="1795">
        <f>1200*Belarus</f>
        <v>1200</v>
      </c>
      <c r="Y25" s="1796"/>
    </row>
    <row r="26" spans="1:25" ht="22.5" customHeight="1">
      <c r="A26" s="1798"/>
      <c r="B26" s="1798"/>
      <c r="C26" s="1798"/>
      <c r="D26" s="1798"/>
      <c r="E26" s="1798"/>
      <c r="F26" s="1798"/>
      <c r="G26" s="1491" t="s">
        <v>3546</v>
      </c>
      <c r="H26" s="1491"/>
      <c r="I26" s="1491"/>
      <c r="J26" s="1452" t="s">
        <v>3605</v>
      </c>
      <c r="K26" s="1478"/>
      <c r="L26" s="1491" t="s">
        <v>3606</v>
      </c>
      <c r="M26" s="1491"/>
      <c r="N26" s="1491" t="s">
        <v>3607</v>
      </c>
      <c r="O26" s="1491"/>
      <c r="Q26" s="1351" t="s">
        <v>860</v>
      </c>
      <c r="R26" s="1351"/>
      <c r="S26" s="1530" t="s">
        <v>861</v>
      </c>
      <c r="T26" s="1530"/>
      <c r="U26" s="1530"/>
      <c r="V26" s="1530" t="s">
        <v>862</v>
      </c>
      <c r="W26" s="1530"/>
      <c r="X26" s="1675">
        <f>400*Belarus</f>
        <v>400</v>
      </c>
      <c r="Y26" s="1675"/>
    </row>
    <row r="27" spans="1:25" ht="25.5" customHeight="1">
      <c r="A27" s="1351" t="s">
        <v>4091</v>
      </c>
      <c r="B27" s="1351"/>
      <c r="C27" s="1351"/>
      <c r="D27" s="1530" t="s">
        <v>881</v>
      </c>
      <c r="E27" s="1530"/>
      <c r="F27" s="101" t="s">
        <v>845</v>
      </c>
      <c r="G27" s="1761" t="str">
        <f>ROUND(685*Belarus*(1-G68),2)&amp;" Обнинск"&amp;"; "&amp;ROUND(685*Belarus*(1-G68),2)&amp;" Ярославль"</f>
        <v>685 Обнинск; 685 Ярославль</v>
      </c>
      <c r="H27" s="1761"/>
      <c r="I27" s="1761"/>
      <c r="J27" s="1795" t="str">
        <f>ROUND(685*Belarus*(1-G68),2)&amp;" НН"&amp;"; "&amp;ROUND(685*Belarus*(1-G68),2)&amp;" Киров"</f>
        <v>685 НН; 685 Киров</v>
      </c>
      <c r="K27" s="1796"/>
      <c r="L27" s="1675">
        <f>ROUND(690*Belarus*(1-G68),2)</f>
        <v>690</v>
      </c>
      <c r="M27" s="1675"/>
      <c r="N27" s="1675">
        <f>ROUND(686*Belarus*(1-G68),2)</f>
        <v>686</v>
      </c>
      <c r="O27" s="1675"/>
      <c r="Q27" s="1351" t="s">
        <v>876</v>
      </c>
      <c r="R27" s="1351"/>
      <c r="S27" s="1530" t="s">
        <v>962</v>
      </c>
      <c r="T27" s="1530"/>
      <c r="U27" s="1530"/>
      <c r="V27" s="1530" t="s">
        <v>3618</v>
      </c>
      <c r="W27" s="1530"/>
      <c r="X27" s="1675">
        <f>55*Belarus</f>
        <v>55</v>
      </c>
      <c r="Y27" s="1675"/>
    </row>
    <row r="28" spans="1:25" ht="15" customHeight="1">
      <c r="A28" s="1351" t="s">
        <v>6352</v>
      </c>
      <c r="B28" s="1351"/>
      <c r="C28" s="1351"/>
      <c r="D28" s="1530" t="s">
        <v>883</v>
      </c>
      <c r="E28" s="1530"/>
      <c r="F28" s="101" t="s">
        <v>845</v>
      </c>
      <c r="G28" s="1761" t="str">
        <f>ROUND(862*Belarus*(1-G68),2)&amp;" Обнинск"&amp;"; "&amp;ROUND(862*Belarus*(1-G68),2)&amp;" Ярославль"</f>
        <v>862 Обнинск; 862 Ярославль</v>
      </c>
      <c r="H28" s="1761"/>
      <c r="I28" s="1761"/>
      <c r="J28" s="1795" t="str">
        <f>ROUND(862*Belarus*(1-G68),2)&amp;" НН"&amp;"; "&amp;ROUND(862*Belarus*(1-G68),2)&amp;" Киров"</f>
        <v>862 НН; 862 Киров</v>
      </c>
      <c r="K28" s="1796"/>
      <c r="L28" s="1675">
        <f>ROUND(870*Belarus*(1-G69),2)</f>
        <v>870</v>
      </c>
      <c r="M28" s="1675"/>
      <c r="N28" s="1675">
        <f>ROUND(865*Belarus*(1-G69),2)</f>
        <v>865</v>
      </c>
      <c r="O28" s="1675"/>
      <c r="Q28" s="1351"/>
      <c r="R28" s="1351"/>
      <c r="S28" s="1530"/>
      <c r="T28" s="1530"/>
      <c r="U28" s="1530"/>
      <c r="V28" s="1530"/>
      <c r="W28" s="1530"/>
      <c r="X28" s="1675"/>
      <c r="Y28" s="1675"/>
    </row>
    <row r="29" spans="1:25" ht="12.75" customHeight="1">
      <c r="A29" s="1717" t="s">
        <v>3619</v>
      </c>
      <c r="B29" s="1717"/>
      <c r="C29" s="1717"/>
      <c r="D29" s="1717"/>
      <c r="E29" s="1717"/>
      <c r="F29" s="1717"/>
      <c r="G29" s="1717"/>
      <c r="H29" s="1717"/>
      <c r="I29" s="1717"/>
      <c r="J29" s="1717"/>
      <c r="K29" s="1717"/>
      <c r="L29" s="1717"/>
      <c r="M29" s="1717"/>
      <c r="N29" s="1717"/>
      <c r="O29" s="1717"/>
      <c r="Q29" s="1794" t="s">
        <v>420</v>
      </c>
      <c r="R29" s="1794"/>
      <c r="S29" s="1794"/>
      <c r="T29" s="1794"/>
      <c r="U29" s="1794"/>
      <c r="V29" s="1794"/>
      <c r="W29" s="1794"/>
      <c r="X29" s="1794"/>
      <c r="Y29" s="1794"/>
    </row>
    <row r="30" spans="1:25" ht="12" customHeight="1">
      <c r="A30" s="1351" t="s">
        <v>903</v>
      </c>
      <c r="B30" s="1351"/>
      <c r="C30" s="1351"/>
      <c r="D30" s="1351"/>
      <c r="E30" s="1351"/>
      <c r="F30" s="101" t="s">
        <v>845</v>
      </c>
      <c r="G30" s="1675">
        <f>390*Belarus</f>
        <v>390</v>
      </c>
      <c r="H30" s="1675"/>
      <c r="I30" s="1675"/>
      <c r="J30" s="1675"/>
      <c r="K30" s="1675"/>
      <c r="L30" s="1675"/>
      <c r="M30" s="1675"/>
      <c r="N30" s="1675"/>
      <c r="O30" s="1675"/>
      <c r="Q30" s="1296" t="s">
        <v>3620</v>
      </c>
      <c r="R30" s="1296"/>
      <c r="S30" s="1296"/>
      <c r="T30" s="1296"/>
      <c r="U30" s="1296"/>
      <c r="V30" s="1296"/>
      <c r="W30" s="1296"/>
      <c r="X30" s="1296"/>
      <c r="Y30" s="1296"/>
    </row>
    <row r="31" spans="1:25" ht="12.75" customHeight="1">
      <c r="A31" s="1351" t="s">
        <v>905</v>
      </c>
      <c r="B31" s="1351"/>
      <c r="C31" s="1351"/>
      <c r="D31" s="1351"/>
      <c r="E31" s="1351"/>
      <c r="F31" s="101" t="s">
        <v>845</v>
      </c>
      <c r="G31" s="1675">
        <f>3250*Belarus</f>
        <v>3250</v>
      </c>
      <c r="H31" s="1675"/>
      <c r="I31" s="1675"/>
      <c r="J31" s="1675"/>
      <c r="K31" s="1675"/>
      <c r="L31" s="1675"/>
      <c r="M31" s="1675"/>
      <c r="N31" s="1675"/>
      <c r="O31" s="1675"/>
      <c r="Q31" s="1351" t="s">
        <v>3734</v>
      </c>
      <c r="R31" s="1351"/>
      <c r="S31" s="1351"/>
      <c r="T31" s="1351"/>
      <c r="U31" s="1351"/>
      <c r="V31" s="1351"/>
      <c r="W31" s="1351"/>
      <c r="X31" s="1351"/>
      <c r="Y31" s="1351"/>
    </row>
    <row r="32" spans="1:25" ht="15" customHeight="1">
      <c r="A32" s="1619" t="s">
        <v>5312</v>
      </c>
      <c r="B32" s="1619"/>
      <c r="C32" s="1619"/>
      <c r="D32" s="1619"/>
      <c r="E32" s="1619"/>
      <c r="F32" s="1619"/>
      <c r="G32" s="1619"/>
      <c r="H32" s="1619"/>
      <c r="I32" s="1619"/>
      <c r="J32" s="1619"/>
      <c r="K32" s="1619"/>
      <c r="L32" s="1619"/>
      <c r="M32" s="1619"/>
      <c r="N32" s="1619"/>
      <c r="O32" s="1619"/>
      <c r="Q32" s="1351"/>
      <c r="R32" s="1351"/>
      <c r="S32" s="1351"/>
      <c r="T32" s="1351"/>
      <c r="U32" s="1351"/>
      <c r="V32" s="1351"/>
      <c r="W32" s="1351"/>
      <c r="X32" s="1351"/>
      <c r="Y32" s="1351"/>
    </row>
    <row r="33" spans="1:25" ht="13.5" customHeight="1">
      <c r="R33" s="722"/>
      <c r="S33" s="722"/>
      <c r="T33" s="722"/>
      <c r="U33" s="722"/>
      <c r="V33" s="722"/>
      <c r="W33" s="722"/>
      <c r="X33" s="722"/>
      <c r="Y33" s="722"/>
    </row>
    <row r="34" spans="1:25" ht="18.75" thickBot="1">
      <c r="A34" s="1763" t="s">
        <v>963</v>
      </c>
      <c r="B34" s="1763"/>
      <c r="C34" s="1763"/>
      <c r="D34" s="1763"/>
      <c r="E34" s="1763"/>
      <c r="F34" s="1763"/>
      <c r="G34" s="1763"/>
      <c r="H34" s="1763"/>
      <c r="I34" s="1763"/>
      <c r="J34" s="1763"/>
      <c r="K34" s="1763"/>
      <c r="L34" s="1763"/>
      <c r="M34" s="1763"/>
      <c r="N34" s="1763"/>
      <c r="O34" s="1763"/>
      <c r="P34" s="1763"/>
      <c r="Q34" s="1763"/>
      <c r="R34" s="1763"/>
      <c r="S34" s="1763"/>
      <c r="T34" s="1763"/>
      <c r="U34" s="1763"/>
      <c r="V34" s="1763"/>
      <c r="W34" s="1763"/>
      <c r="X34" s="1763"/>
      <c r="Y34" s="1763"/>
    </row>
    <row r="35" spans="1:25" ht="12.75" customHeight="1">
      <c r="B35" s="238"/>
      <c r="C35" s="238"/>
      <c r="D35" s="238"/>
      <c r="E35" s="238"/>
      <c r="F35" s="238"/>
      <c r="G35" s="238"/>
      <c r="H35" s="238"/>
      <c r="I35" s="238"/>
      <c r="J35" s="238"/>
      <c r="K35" s="238"/>
      <c r="Q35" s="240"/>
      <c r="R35" s="240"/>
      <c r="S35" s="240"/>
      <c r="T35" s="240"/>
      <c r="U35" s="240"/>
      <c r="V35" s="190"/>
      <c r="W35" s="241" t="s">
        <v>804</v>
      </c>
      <c r="X35" s="1679">
        <v>43290</v>
      </c>
      <c r="Y35" s="1679"/>
    </row>
    <row r="36" spans="1:25" ht="25.5">
      <c r="A36" s="1452" t="s">
        <v>807</v>
      </c>
      <c r="B36" s="1478"/>
      <c r="C36" s="1794" t="s">
        <v>924</v>
      </c>
      <c r="D36" s="1794"/>
      <c r="E36" s="1794"/>
      <c r="F36" s="1794"/>
      <c r="G36" s="1794"/>
      <c r="H36" s="1794"/>
      <c r="I36" s="1794"/>
      <c r="J36" s="126" t="s">
        <v>808</v>
      </c>
      <c r="K36" s="126" t="s">
        <v>809</v>
      </c>
      <c r="L36" s="126" t="s">
        <v>810</v>
      </c>
      <c r="M36" s="126" t="s">
        <v>925</v>
      </c>
      <c r="N36" s="40" t="s">
        <v>319</v>
      </c>
      <c r="O36" s="40" t="s">
        <v>926</v>
      </c>
      <c r="Q36" s="1452" t="s">
        <v>307</v>
      </c>
      <c r="R36" s="1478"/>
      <c r="S36" s="1452" t="s">
        <v>812</v>
      </c>
      <c r="T36" s="1477"/>
      <c r="U36" s="1478"/>
      <c r="V36" s="1452" t="s">
        <v>284</v>
      </c>
      <c r="W36" s="1478"/>
      <c r="X36" s="40" t="s">
        <v>964</v>
      </c>
      <c r="Y36" s="40" t="s">
        <v>926</v>
      </c>
    </row>
    <row r="37" spans="1:25" ht="12.75" customHeight="1">
      <c r="A37" s="1629" t="s">
        <v>965</v>
      </c>
      <c r="B37" s="1629"/>
      <c r="C37" s="1629"/>
      <c r="D37" s="1629"/>
      <c r="E37" s="1629"/>
      <c r="F37" s="1629"/>
      <c r="G37" s="1629"/>
      <c r="H37" s="1629"/>
      <c r="I37" s="1629"/>
      <c r="J37" s="1629"/>
      <c r="K37" s="1629"/>
      <c r="L37" s="1629"/>
      <c r="M37" s="1629"/>
      <c r="N37" s="1629"/>
      <c r="O37" s="1629"/>
      <c r="Q37" s="1794" t="s">
        <v>966</v>
      </c>
      <c r="R37" s="1794"/>
      <c r="S37" s="1794"/>
      <c r="T37" s="1794"/>
      <c r="U37" s="1794"/>
      <c r="V37" s="1794"/>
      <c r="W37" s="1794"/>
      <c r="X37" s="1794"/>
      <c r="Y37" s="1794"/>
    </row>
    <row r="38" spans="1:25" ht="34.5" customHeight="1">
      <c r="A38" s="1755" t="s">
        <v>967</v>
      </c>
      <c r="B38" s="1756"/>
      <c r="C38" s="1779" t="s">
        <v>968</v>
      </c>
      <c r="D38" s="1780"/>
      <c r="E38" s="1780"/>
      <c r="F38" s="1780"/>
      <c r="G38" s="1780"/>
      <c r="H38" s="1780"/>
      <c r="I38" s="1781"/>
      <c r="J38" s="101">
        <v>3</v>
      </c>
      <c r="K38" s="101">
        <v>20</v>
      </c>
      <c r="L38" s="103">
        <v>3.097</v>
      </c>
      <c r="M38" s="101">
        <v>1</v>
      </c>
      <c r="N38" s="178">
        <f>ROUND(735*Belarus*(1-O55),2)</f>
        <v>735</v>
      </c>
      <c r="O38" s="176">
        <f>N38*L38</f>
        <v>2276.2950000000001</v>
      </c>
      <c r="Q38" s="1351" t="s">
        <v>969</v>
      </c>
      <c r="R38" s="1351"/>
      <c r="S38" s="1530" t="s">
        <v>970</v>
      </c>
      <c r="T38" s="1530"/>
      <c r="U38" s="1530"/>
      <c r="V38" s="1530" t="s">
        <v>971</v>
      </c>
      <c r="W38" s="1530"/>
      <c r="X38" s="219">
        <f>Y38/9.14</f>
        <v>518.59956236323853</v>
      </c>
      <c r="Y38" s="178">
        <f>ROUND(4740*Belarus*(1-O55),2)</f>
        <v>4740</v>
      </c>
    </row>
    <row r="39" spans="1:25" ht="44.25" customHeight="1">
      <c r="A39" s="1530" t="s">
        <v>972</v>
      </c>
      <c r="B39" s="1530"/>
      <c r="C39" s="1779" t="s">
        <v>973</v>
      </c>
      <c r="D39" s="1780"/>
      <c r="E39" s="1780"/>
      <c r="F39" s="1780"/>
      <c r="G39" s="1780"/>
      <c r="H39" s="1780"/>
      <c r="I39" s="1781"/>
      <c r="J39" s="101">
        <v>3.5</v>
      </c>
      <c r="K39" s="101">
        <v>50</v>
      </c>
      <c r="L39" s="103">
        <v>2.98</v>
      </c>
      <c r="M39" s="101">
        <v>2</v>
      </c>
      <c r="N39" s="178">
        <f>ROUND(1610*Belarus*(1-O55),2)</f>
        <v>1610</v>
      </c>
      <c r="O39" s="176">
        <f t="shared" ref="O39:O44" si="1">N39*L39</f>
        <v>4797.8</v>
      </c>
      <c r="Q39" s="1351" t="s">
        <v>974</v>
      </c>
      <c r="R39" s="1351"/>
      <c r="S39" s="1530" t="s">
        <v>975</v>
      </c>
      <c r="T39" s="1530"/>
      <c r="U39" s="1530"/>
      <c r="V39" s="1530" t="s">
        <v>971</v>
      </c>
      <c r="W39" s="1530"/>
      <c r="X39" s="219">
        <f>Y39/3.05</f>
        <v>2318.032786885246</v>
      </c>
      <c r="Y39" s="178">
        <f>ROUND(7070*Belarus*(1-O55),2)</f>
        <v>7070</v>
      </c>
    </row>
    <row r="40" spans="1:25" ht="54" customHeight="1">
      <c r="A40" s="1530" t="s">
        <v>976</v>
      </c>
      <c r="B40" s="1530"/>
      <c r="C40" s="1779" t="s">
        <v>977</v>
      </c>
      <c r="D40" s="1780"/>
      <c r="E40" s="1780"/>
      <c r="F40" s="1780"/>
      <c r="G40" s="1780"/>
      <c r="H40" s="1780"/>
      <c r="I40" s="1781"/>
      <c r="J40" s="902" t="s">
        <v>978</v>
      </c>
      <c r="K40" s="101">
        <v>50</v>
      </c>
      <c r="L40" s="103">
        <v>3.097</v>
      </c>
      <c r="M40" s="101">
        <v>3</v>
      </c>
      <c r="N40" s="178">
        <f>ROUND(958*Belarus*(1-O55),2)</f>
        <v>958</v>
      </c>
      <c r="O40" s="176">
        <f t="shared" si="1"/>
        <v>2966.9259999999999</v>
      </c>
      <c r="Q40" s="1351" t="s">
        <v>979</v>
      </c>
      <c r="R40" s="1351"/>
      <c r="S40" s="1530" t="s">
        <v>980</v>
      </c>
      <c r="T40" s="1530"/>
      <c r="U40" s="1530"/>
      <c r="V40" s="1530" t="s">
        <v>971</v>
      </c>
      <c r="W40" s="1530"/>
      <c r="X40" s="219">
        <f>Y40/6.96</f>
        <v>1166.6666666666667</v>
      </c>
      <c r="Y40" s="178">
        <f>ROUND(8120*Belarus*(1-O55),2)</f>
        <v>8120</v>
      </c>
    </row>
    <row r="41" spans="1:25" ht="38.25" customHeight="1">
      <c r="A41" s="1530" t="s">
        <v>981</v>
      </c>
      <c r="B41" s="1530"/>
      <c r="C41" s="1779" t="s">
        <v>982</v>
      </c>
      <c r="D41" s="1780"/>
      <c r="E41" s="1780"/>
      <c r="F41" s="1780"/>
      <c r="G41" s="1780"/>
      <c r="H41" s="1780"/>
      <c r="I41" s="1781"/>
      <c r="J41" s="255"/>
      <c r="K41" s="101">
        <v>50</v>
      </c>
      <c r="L41" s="103">
        <v>2.323</v>
      </c>
      <c r="M41" s="101">
        <v>4</v>
      </c>
      <c r="N41" s="178">
        <f>ROUND(1587*Belarus*(1-O55),2)</f>
        <v>1587</v>
      </c>
      <c r="O41" s="176">
        <f t="shared" si="1"/>
        <v>3686.6010000000001</v>
      </c>
      <c r="Q41" s="1351" t="s">
        <v>983</v>
      </c>
      <c r="R41" s="1351"/>
      <c r="S41" s="1530" t="s">
        <v>984</v>
      </c>
      <c r="T41" s="1530"/>
      <c r="U41" s="1530"/>
      <c r="V41" s="1530" t="s">
        <v>833</v>
      </c>
      <c r="W41" s="1530"/>
      <c r="X41" s="219">
        <f>Y41/35.43</f>
        <v>129.83347445667513</v>
      </c>
      <c r="Y41" s="178">
        <f>ROUND(4600*Belarus*(1-O55),2)</f>
        <v>4600</v>
      </c>
    </row>
    <row r="42" spans="1:25" ht="38.25" customHeight="1">
      <c r="A42" s="1530" t="s">
        <v>985</v>
      </c>
      <c r="B42" s="1530"/>
      <c r="C42" s="1779" t="s">
        <v>986</v>
      </c>
      <c r="D42" s="1780"/>
      <c r="E42" s="1780"/>
      <c r="F42" s="1780"/>
      <c r="G42" s="1780"/>
      <c r="H42" s="1780"/>
      <c r="I42" s="1781"/>
      <c r="J42" s="902" t="s">
        <v>978</v>
      </c>
      <c r="K42" s="101">
        <v>50</v>
      </c>
      <c r="L42" s="103">
        <v>1.8580000000000001</v>
      </c>
      <c r="M42" s="101">
        <v>5</v>
      </c>
      <c r="N42" s="178">
        <f>ROUND(2330*Belarus*(1-O55),2)</f>
        <v>2330</v>
      </c>
      <c r="O42" s="176">
        <f t="shared" si="1"/>
        <v>4329.1400000000003</v>
      </c>
      <c r="Q42" s="1351" t="s">
        <v>987</v>
      </c>
      <c r="R42" s="1351"/>
      <c r="S42" s="1530" t="s">
        <v>988</v>
      </c>
      <c r="T42" s="1530"/>
      <c r="U42" s="1530"/>
      <c r="V42" s="1530" t="s">
        <v>971</v>
      </c>
      <c r="W42" s="1530"/>
      <c r="X42" s="219">
        <f>Y42/11.17</f>
        <v>594.44941808415399</v>
      </c>
      <c r="Y42" s="178">
        <f>ROUND(6640*Belarus*(1-O55),2)</f>
        <v>6640</v>
      </c>
    </row>
    <row r="43" spans="1:25" ht="57" customHeight="1">
      <c r="A43" s="1530" t="s">
        <v>989</v>
      </c>
      <c r="B43" s="1530"/>
      <c r="C43" s="1779" t="s">
        <v>990</v>
      </c>
      <c r="D43" s="1780"/>
      <c r="E43" s="1780"/>
      <c r="F43" s="1780"/>
      <c r="G43" s="1780"/>
      <c r="H43" s="1780"/>
      <c r="I43" s="1781"/>
      <c r="J43" s="902" t="s">
        <v>978</v>
      </c>
      <c r="K43" s="101">
        <v>50</v>
      </c>
      <c r="L43" s="103">
        <v>1.8580000000000001</v>
      </c>
      <c r="M43" s="101">
        <v>6</v>
      </c>
      <c r="N43" s="178">
        <f>ROUND(2820*Belarus*(1-O55),2)</f>
        <v>2820</v>
      </c>
      <c r="O43" s="176">
        <f t="shared" si="1"/>
        <v>5239.5600000000004</v>
      </c>
      <c r="Q43" s="1351" t="s">
        <v>991</v>
      </c>
      <c r="R43" s="1351"/>
      <c r="S43" s="1530" t="s">
        <v>992</v>
      </c>
      <c r="T43" s="1530"/>
      <c r="U43" s="1530"/>
      <c r="V43" s="1530" t="s">
        <v>833</v>
      </c>
      <c r="W43" s="1530"/>
      <c r="X43" s="219">
        <f>Y43/31.09</f>
        <v>318.10871662914121</v>
      </c>
      <c r="Y43" s="178">
        <f>ROUND(9890*Belarus*(1-O55),2)</f>
        <v>9890</v>
      </c>
    </row>
    <row r="44" spans="1:25" ht="27.75" customHeight="1">
      <c r="A44" s="1468" t="s">
        <v>993</v>
      </c>
      <c r="B44" s="1527"/>
      <c r="C44" s="1786" t="s">
        <v>994</v>
      </c>
      <c r="D44" s="1787"/>
      <c r="E44" s="1787"/>
      <c r="F44" s="1787"/>
      <c r="G44" s="1787"/>
      <c r="H44" s="1787"/>
      <c r="I44" s="1788"/>
      <c r="J44" s="1792" t="s">
        <v>995</v>
      </c>
      <c r="K44" s="1766">
        <v>50</v>
      </c>
      <c r="L44" s="1765">
        <v>1.8580000000000001</v>
      </c>
      <c r="M44" s="1766">
        <v>7</v>
      </c>
      <c r="N44" s="1782">
        <f>ROUND(3560*Belarus*(1-O55),2)</f>
        <v>3560</v>
      </c>
      <c r="O44" s="1784">
        <f t="shared" si="1"/>
        <v>6614.4800000000005</v>
      </c>
      <c r="Q44" s="1452" t="s">
        <v>826</v>
      </c>
      <c r="R44" s="1477"/>
      <c r="S44" s="1477"/>
      <c r="T44" s="1477"/>
      <c r="U44" s="1477"/>
      <c r="V44" s="1477"/>
      <c r="W44" s="1478"/>
      <c r="X44" s="254" t="s">
        <v>319</v>
      </c>
      <c r="Y44" s="254" t="s">
        <v>926</v>
      </c>
    </row>
    <row r="45" spans="1:25" ht="39.75" customHeight="1">
      <c r="A45" s="1583"/>
      <c r="B45" s="1584"/>
      <c r="C45" s="1789"/>
      <c r="D45" s="1790"/>
      <c r="E45" s="1790"/>
      <c r="F45" s="1790"/>
      <c r="G45" s="1790"/>
      <c r="H45" s="1790"/>
      <c r="I45" s="1791"/>
      <c r="J45" s="1793"/>
      <c r="K45" s="1443"/>
      <c r="L45" s="1456"/>
      <c r="M45" s="1443"/>
      <c r="N45" s="1783"/>
      <c r="O45" s="1785"/>
      <c r="Q45" s="1351" t="s">
        <v>996</v>
      </c>
      <c r="R45" s="1351"/>
      <c r="S45" s="1530" t="s">
        <v>997</v>
      </c>
      <c r="T45" s="1530"/>
      <c r="U45" s="1530"/>
      <c r="V45" s="1530" t="s">
        <v>369</v>
      </c>
      <c r="W45" s="1530"/>
      <c r="X45" s="219">
        <f>Y45/37.16</f>
        <v>259.95694294940802</v>
      </c>
      <c r="Y45" s="178">
        <f>ROUND(9660*Belarus*(1-O55),2)</f>
        <v>9660</v>
      </c>
    </row>
    <row r="46" spans="1:25" ht="52.5" customHeight="1">
      <c r="A46" s="1716" t="s">
        <v>998</v>
      </c>
      <c r="B46" s="1716"/>
      <c r="C46" s="1779" t="s">
        <v>999</v>
      </c>
      <c r="D46" s="1780"/>
      <c r="E46" s="1780"/>
      <c r="F46" s="1780"/>
      <c r="G46" s="1780"/>
      <c r="H46" s="1780"/>
      <c r="I46" s="1781"/>
      <c r="J46" s="255"/>
      <c r="K46" s="101">
        <v>50</v>
      </c>
      <c r="L46" s="103">
        <v>2.323</v>
      </c>
      <c r="M46" s="101">
        <v>3</v>
      </c>
      <c r="N46" s="178">
        <f>ROUND(3804*Belarus*(1-O55),2)</f>
        <v>3804</v>
      </c>
      <c r="O46" s="176">
        <f>N46*L46</f>
        <v>8836.6919999999991</v>
      </c>
      <c r="Q46" s="1351" t="s">
        <v>1000</v>
      </c>
      <c r="R46" s="1351"/>
      <c r="S46" s="1530" t="s">
        <v>1001</v>
      </c>
      <c r="T46" s="1530"/>
      <c r="U46" s="1530"/>
      <c r="V46" s="1530" t="s">
        <v>833</v>
      </c>
      <c r="W46" s="1530"/>
      <c r="X46" s="219">
        <f>Y46/18.58</f>
        <v>358.9881593110872</v>
      </c>
      <c r="Y46" s="178">
        <f>ROUND(6670*Belarus*(1-O55),2)</f>
        <v>6670</v>
      </c>
    </row>
    <row r="47" spans="1:25" ht="52.5" customHeight="1">
      <c r="A47" s="1716" t="s">
        <v>1002</v>
      </c>
      <c r="B47" s="1716"/>
      <c r="C47" s="1779" t="s">
        <v>1003</v>
      </c>
      <c r="D47" s="1780"/>
      <c r="E47" s="1780"/>
      <c r="F47" s="1780"/>
      <c r="G47" s="1780"/>
      <c r="H47" s="1780"/>
      <c r="I47" s="1781"/>
      <c r="J47" s="255" t="s">
        <v>995</v>
      </c>
      <c r="K47" s="101">
        <v>50</v>
      </c>
      <c r="L47" s="103">
        <v>1.548</v>
      </c>
      <c r="M47" s="101">
        <v>5</v>
      </c>
      <c r="N47" s="178">
        <f>ROUND(4070*Belarus*(1-O55),2)</f>
        <v>4070</v>
      </c>
      <c r="O47" s="176">
        <f>N47*L47</f>
        <v>6300.3600000000006</v>
      </c>
      <c r="Q47" s="1351" t="s">
        <v>1004</v>
      </c>
      <c r="R47" s="1351"/>
      <c r="S47" s="1530" t="s">
        <v>1005</v>
      </c>
      <c r="T47" s="1530"/>
      <c r="U47" s="1530"/>
      <c r="V47" s="1530" t="s">
        <v>1006</v>
      </c>
      <c r="W47" s="1530"/>
      <c r="X47" s="219">
        <f>Y47/18.116</f>
        <v>556.74541841466112</v>
      </c>
      <c r="Y47" s="178">
        <f>ROUND(10086*Belarus*(1-O55),2)</f>
        <v>10086</v>
      </c>
    </row>
    <row r="48" spans="1:25" ht="26.25" customHeight="1">
      <c r="A48" s="1491" t="s">
        <v>1007</v>
      </c>
      <c r="B48" s="1772"/>
      <c r="C48" s="1772"/>
      <c r="D48" s="1772"/>
      <c r="E48" s="1772"/>
      <c r="F48" s="1772"/>
      <c r="G48" s="1772"/>
      <c r="H48" s="1772"/>
      <c r="I48" s="1772"/>
      <c r="J48" s="1772"/>
      <c r="K48" s="1772"/>
      <c r="L48" s="1772"/>
      <c r="M48" s="1772"/>
      <c r="N48" s="1772"/>
      <c r="O48" s="1772"/>
      <c r="Q48" s="1452" t="s">
        <v>1008</v>
      </c>
      <c r="R48" s="1477"/>
      <c r="S48" s="1477"/>
      <c r="T48" s="1477"/>
      <c r="U48" s="1477"/>
      <c r="V48" s="1477"/>
      <c r="W48" s="1478"/>
      <c r="X48" s="254" t="s">
        <v>927</v>
      </c>
      <c r="Y48" s="254" t="s">
        <v>926</v>
      </c>
    </row>
    <row r="49" spans="1:25" ht="29.25" customHeight="1">
      <c r="A49" s="1773"/>
      <c r="B49" s="1774"/>
      <c r="C49" s="1774"/>
      <c r="D49" s="1774"/>
      <c r="E49" s="1774"/>
      <c r="F49" s="1774"/>
      <c r="G49" s="1774"/>
      <c r="H49" s="1774"/>
      <c r="I49" s="1774"/>
      <c r="J49" s="1774"/>
      <c r="K49" s="1774"/>
      <c r="L49" s="1774"/>
      <c r="M49" s="1774"/>
      <c r="N49" s="1774"/>
      <c r="O49" s="1775"/>
      <c r="Q49" s="1351" t="s">
        <v>1009</v>
      </c>
      <c r="R49" s="1351"/>
      <c r="S49" s="1530" t="s">
        <v>1010</v>
      </c>
      <c r="T49" s="1530"/>
      <c r="U49" s="1530"/>
      <c r="V49" s="1530" t="s">
        <v>369</v>
      </c>
      <c r="W49" s="1530"/>
      <c r="X49" s="219">
        <f>Y49/0.3</f>
        <v>1123.3333333333335</v>
      </c>
      <c r="Y49" s="178">
        <f>ROUND(337*Belarus*(1-O55),2)</f>
        <v>337</v>
      </c>
    </row>
    <row r="50" spans="1:25" ht="29.25" customHeight="1">
      <c r="A50" s="1776"/>
      <c r="B50" s="1777"/>
      <c r="C50" s="1777"/>
      <c r="D50" s="1777"/>
      <c r="E50" s="1777"/>
      <c r="F50" s="1777"/>
      <c r="G50" s="1777"/>
      <c r="H50" s="1777"/>
      <c r="I50" s="1777"/>
      <c r="J50" s="1777"/>
      <c r="K50" s="1777"/>
      <c r="L50" s="1777"/>
      <c r="M50" s="1777"/>
      <c r="N50" s="1777"/>
      <c r="O50" s="1778"/>
      <c r="Q50" s="1351" t="s">
        <v>1011</v>
      </c>
      <c r="R50" s="1351"/>
      <c r="S50" s="1530" t="s">
        <v>1012</v>
      </c>
      <c r="T50" s="1530"/>
      <c r="U50" s="1530"/>
      <c r="V50" s="1530" t="s">
        <v>369</v>
      </c>
      <c r="W50" s="1530"/>
      <c r="X50" s="219">
        <f>Y50/3.4</f>
        <v>389.11764705882354</v>
      </c>
      <c r="Y50" s="178">
        <f>ROUND(1323*Belarus*(1-O55),2)</f>
        <v>1323</v>
      </c>
    </row>
    <row r="51" spans="1:25" ht="12.75" customHeight="1"/>
    <row r="54" spans="1:25">
      <c r="A54" s="1595" t="s">
        <v>508</v>
      </c>
      <c r="B54" s="1595"/>
      <c r="C54" s="1595"/>
      <c r="D54" s="1595"/>
      <c r="E54" s="1595"/>
      <c r="F54" s="1595"/>
      <c r="G54" s="1595"/>
      <c r="H54" s="1595"/>
      <c r="I54" s="1595" t="s">
        <v>508</v>
      </c>
      <c r="J54" s="1595"/>
      <c r="K54" s="1595"/>
      <c r="L54" s="1595"/>
      <c r="M54" s="1595"/>
      <c r="N54" s="1595"/>
      <c r="O54" s="1595"/>
      <c r="P54" s="1595"/>
    </row>
    <row r="55" spans="1:25" ht="12.75" customHeight="1">
      <c r="A55" s="1339" t="s">
        <v>1013</v>
      </c>
      <c r="B55" s="1595"/>
      <c r="C55" s="1595"/>
      <c r="D55" s="1595"/>
      <c r="E55" s="1595"/>
      <c r="F55" s="1595"/>
      <c r="G55" s="1771">
        <v>0</v>
      </c>
      <c r="H55" s="1771"/>
      <c r="I55" s="1339" t="s">
        <v>1014</v>
      </c>
      <c r="J55" s="1595"/>
      <c r="K55" s="1595"/>
      <c r="L55" s="1595"/>
      <c r="M55" s="1595"/>
      <c r="N55" s="1595"/>
      <c r="O55" s="1771">
        <v>0</v>
      </c>
      <c r="P55" s="1771"/>
    </row>
    <row r="56" spans="1:25" ht="12.75" customHeight="1">
      <c r="A56" s="1339" t="s">
        <v>1015</v>
      </c>
      <c r="B56" s="1595"/>
      <c r="C56" s="1595"/>
      <c r="D56" s="1595"/>
      <c r="E56" s="1595"/>
      <c r="F56" s="1595"/>
      <c r="G56" s="1771">
        <v>0</v>
      </c>
      <c r="H56" s="1771"/>
      <c r="I56" s="54"/>
      <c r="J56" s="54"/>
      <c r="K56" s="54"/>
      <c r="L56" s="54"/>
      <c r="M56" s="54"/>
      <c r="N56" s="54"/>
      <c r="O56" s="54"/>
    </row>
    <row r="57" spans="1:25" ht="12.75" customHeight="1">
      <c r="A57" s="1339" t="s">
        <v>1016</v>
      </c>
      <c r="B57" s="1595"/>
      <c r="C57" s="1595"/>
      <c r="D57" s="1595"/>
      <c r="E57" s="1595"/>
      <c r="F57" s="1595"/>
      <c r="G57" s="1771">
        <v>0</v>
      </c>
      <c r="H57" s="1771"/>
    </row>
    <row r="58" spans="1:25" s="190" customFormat="1" ht="12.75" customHeight="1">
      <c r="A58" s="1339" t="s">
        <v>1017</v>
      </c>
      <c r="B58" s="1595"/>
      <c r="C58" s="1595"/>
      <c r="D58" s="1595"/>
      <c r="E58" s="1595"/>
      <c r="F58" s="1595"/>
      <c r="G58" s="1771">
        <v>0</v>
      </c>
      <c r="H58" s="1771"/>
      <c r="P58" s="54"/>
      <c r="Q58" s="54"/>
      <c r="R58" s="54"/>
      <c r="S58" s="54"/>
      <c r="T58" s="54"/>
      <c r="U58" s="54"/>
      <c r="V58" s="54"/>
      <c r="W58" s="54"/>
      <c r="X58" s="54"/>
      <c r="Y58" s="54"/>
    </row>
    <row r="59" spans="1:25" s="190" customFormat="1" ht="12.75" customHeight="1">
      <c r="A59" s="1339" t="s">
        <v>1018</v>
      </c>
      <c r="B59" s="1595"/>
      <c r="C59" s="1595"/>
      <c r="D59" s="1595"/>
      <c r="E59" s="1595"/>
      <c r="F59" s="1595"/>
      <c r="G59" s="1771">
        <v>0</v>
      </c>
      <c r="H59" s="1771"/>
      <c r="P59" s="54"/>
      <c r="Q59" s="54"/>
      <c r="R59" s="54"/>
      <c r="S59" s="54"/>
      <c r="T59" s="54"/>
      <c r="U59" s="54"/>
      <c r="V59" s="54"/>
      <c r="W59" s="54"/>
      <c r="X59" s="54"/>
      <c r="Y59" s="54"/>
    </row>
    <row r="60" spans="1:25" s="190" customFormat="1" ht="12.75" customHeight="1">
      <c r="A60" s="1339" t="s">
        <v>1019</v>
      </c>
      <c r="B60" s="1595"/>
      <c r="C60" s="1595"/>
      <c r="D60" s="1595"/>
      <c r="E60" s="1595"/>
      <c r="F60" s="1595"/>
      <c r="G60" s="1771">
        <v>0</v>
      </c>
      <c r="H60" s="1771"/>
      <c r="P60" s="54"/>
      <c r="Q60" s="54"/>
      <c r="R60" s="54"/>
      <c r="S60" s="54"/>
      <c r="T60" s="54"/>
      <c r="U60" s="54"/>
      <c r="V60" s="54"/>
      <c r="W60" s="54"/>
      <c r="X60" s="54"/>
      <c r="Y60" s="54"/>
    </row>
    <row r="61" spans="1:25" s="190" customFormat="1" ht="12.75" customHeight="1">
      <c r="A61" s="1722" t="s">
        <v>954</v>
      </c>
      <c r="B61" s="1722"/>
      <c r="C61" s="1722"/>
      <c r="D61" s="1722"/>
      <c r="E61" s="1722"/>
      <c r="F61" s="1722"/>
      <c r="G61" s="1771">
        <v>0</v>
      </c>
      <c r="H61" s="1771"/>
      <c r="P61" s="54"/>
      <c r="Q61" s="54"/>
      <c r="R61" s="54"/>
      <c r="S61" s="54"/>
      <c r="T61" s="54"/>
      <c r="U61" s="54"/>
      <c r="V61" s="54"/>
      <c r="W61" s="54"/>
      <c r="X61" s="54"/>
      <c r="Y61" s="54"/>
    </row>
    <row r="62" spans="1:25" s="190" customFormat="1" ht="12.75" customHeight="1">
      <c r="A62" s="1722" t="s">
        <v>1020</v>
      </c>
      <c r="B62" s="1722"/>
      <c r="C62" s="1722"/>
      <c r="D62" s="1722"/>
      <c r="E62" s="1722"/>
      <c r="F62" s="1722"/>
      <c r="G62" s="1771">
        <v>0</v>
      </c>
      <c r="H62" s="1771"/>
      <c r="P62" s="54"/>
      <c r="Q62" s="54"/>
      <c r="R62" s="54"/>
      <c r="S62" s="54"/>
      <c r="T62" s="54"/>
      <c r="U62" s="54"/>
      <c r="V62" s="54"/>
      <c r="W62" s="54"/>
      <c r="X62" s="54"/>
      <c r="Y62" s="54"/>
    </row>
    <row r="63" spans="1:25" s="190" customFormat="1">
      <c r="A63" s="1339" t="s">
        <v>1021</v>
      </c>
      <c r="B63" s="1595"/>
      <c r="C63" s="1595"/>
      <c r="D63" s="1595"/>
      <c r="E63" s="1595"/>
      <c r="F63" s="1595"/>
      <c r="G63" s="1771">
        <v>0</v>
      </c>
      <c r="H63" s="1771"/>
      <c r="P63" s="54"/>
      <c r="Q63" s="54"/>
      <c r="R63" s="54"/>
      <c r="S63" s="54"/>
      <c r="T63" s="54"/>
      <c r="U63" s="54"/>
      <c r="V63" s="54"/>
      <c r="W63" s="54"/>
      <c r="X63" s="54"/>
      <c r="Y63" s="54"/>
    </row>
    <row r="64" spans="1:25" s="190" customFormat="1">
      <c r="A64" s="1339" t="s">
        <v>1022</v>
      </c>
      <c r="B64" s="1595"/>
      <c r="C64" s="1595"/>
      <c r="D64" s="1595"/>
      <c r="E64" s="1595"/>
      <c r="F64" s="1595"/>
      <c r="G64" s="1771">
        <v>0</v>
      </c>
      <c r="H64" s="1771"/>
      <c r="P64" s="54"/>
      <c r="Q64" s="54"/>
      <c r="R64" s="54"/>
      <c r="S64" s="54"/>
      <c r="T64" s="54"/>
      <c r="U64" s="54"/>
      <c r="V64" s="54"/>
      <c r="W64" s="54"/>
      <c r="X64" s="54"/>
      <c r="Y64" s="54"/>
    </row>
    <row r="65" spans="1:25" s="190" customFormat="1">
      <c r="A65" s="1339" t="s">
        <v>1023</v>
      </c>
      <c r="B65" s="1595"/>
      <c r="C65" s="1595"/>
      <c r="D65" s="1595"/>
      <c r="E65" s="1595"/>
      <c r="F65" s="1595"/>
      <c r="G65" s="1771">
        <v>0</v>
      </c>
      <c r="H65" s="1771"/>
      <c r="P65" s="54"/>
      <c r="Q65" s="54"/>
      <c r="R65" s="54"/>
      <c r="S65" s="54"/>
      <c r="T65" s="54"/>
      <c r="U65" s="54"/>
      <c r="V65" s="54"/>
      <c r="W65" s="54"/>
      <c r="X65" s="54"/>
      <c r="Y65" s="54"/>
    </row>
    <row r="66" spans="1:25" s="190" customFormat="1">
      <c r="A66" s="1339" t="s">
        <v>1024</v>
      </c>
      <c r="B66" s="1595"/>
      <c r="C66" s="1595"/>
      <c r="D66" s="1595"/>
      <c r="E66" s="1595"/>
      <c r="F66" s="1595"/>
      <c r="G66" s="1771">
        <v>0</v>
      </c>
      <c r="H66" s="1771"/>
      <c r="P66" s="54"/>
      <c r="Q66" s="54"/>
      <c r="R66" s="54"/>
      <c r="S66" s="54"/>
      <c r="T66" s="54"/>
      <c r="U66" s="54"/>
      <c r="V66" s="54"/>
      <c r="W66" s="54"/>
      <c r="X66" s="54"/>
      <c r="Y66" s="54"/>
    </row>
    <row r="67" spans="1:25" s="190" customFormat="1">
      <c r="A67" s="1339" t="s">
        <v>1025</v>
      </c>
      <c r="B67" s="1595"/>
      <c r="C67" s="1595"/>
      <c r="D67" s="1595"/>
      <c r="E67" s="1595"/>
      <c r="F67" s="1595"/>
      <c r="G67" s="1771">
        <v>0</v>
      </c>
      <c r="H67" s="1771"/>
      <c r="P67" s="54"/>
      <c r="Q67" s="54"/>
      <c r="R67" s="54"/>
      <c r="S67" s="54"/>
      <c r="T67" s="54"/>
      <c r="U67" s="54"/>
      <c r="V67" s="54"/>
      <c r="W67" s="54"/>
      <c r="X67" s="54"/>
      <c r="Y67" s="54"/>
    </row>
    <row r="68" spans="1:25" s="190" customFormat="1">
      <c r="A68" s="1339" t="s">
        <v>880</v>
      </c>
      <c r="B68" s="1595"/>
      <c r="C68" s="1595"/>
      <c r="D68" s="1595"/>
      <c r="E68" s="1595"/>
      <c r="F68" s="1595"/>
      <c r="G68" s="1771">
        <v>0</v>
      </c>
      <c r="H68" s="1771"/>
      <c r="P68" s="54"/>
      <c r="Q68" s="54"/>
      <c r="R68" s="54"/>
      <c r="S68" s="54"/>
      <c r="T68" s="54"/>
      <c r="U68" s="54"/>
      <c r="V68" s="54"/>
      <c r="W68" s="54"/>
      <c r="X68" s="54"/>
      <c r="Y68" s="54"/>
    </row>
    <row r="69" spans="1:25" s="190" customFormat="1">
      <c r="A69" s="1339" t="s">
        <v>882</v>
      </c>
      <c r="B69" s="1595"/>
      <c r="C69" s="1595"/>
      <c r="D69" s="1595"/>
      <c r="E69" s="1595"/>
      <c r="F69" s="1595"/>
      <c r="G69" s="1771">
        <v>0</v>
      </c>
      <c r="H69" s="1771"/>
      <c r="P69" s="54"/>
      <c r="Q69" s="54"/>
      <c r="R69" s="54"/>
      <c r="S69" s="54"/>
      <c r="T69" s="54"/>
      <c r="U69" s="54"/>
      <c r="V69" s="54"/>
      <c r="W69" s="54"/>
      <c r="X69" s="54"/>
      <c r="Y69" s="54"/>
    </row>
    <row r="70" spans="1:25" s="190" customFormat="1">
      <c r="A70" s="1339" t="s">
        <v>922</v>
      </c>
      <c r="B70" s="1595"/>
      <c r="C70" s="1595"/>
      <c r="D70" s="1595"/>
      <c r="E70" s="1595"/>
      <c r="F70" s="1595"/>
      <c r="G70" s="1771">
        <v>0</v>
      </c>
      <c r="H70" s="1771"/>
      <c r="P70" s="54"/>
      <c r="Q70" s="54"/>
      <c r="R70" s="54"/>
      <c r="S70" s="54"/>
      <c r="T70" s="54"/>
      <c r="U70" s="54"/>
      <c r="V70" s="54"/>
      <c r="W70" s="54"/>
      <c r="X70" s="54"/>
      <c r="Y70" s="54"/>
    </row>
  </sheetData>
  <mergeCells count="244">
    <mergeCell ref="A1:D1"/>
    <mergeCell ref="A2:T2"/>
    <mergeCell ref="X2:Y2"/>
    <mergeCell ref="X3:Y3"/>
    <mergeCell ref="A4:B4"/>
    <mergeCell ref="C4:I4"/>
    <mergeCell ref="Q4:R4"/>
    <mergeCell ref="S4:U4"/>
    <mergeCell ref="V4:W4"/>
    <mergeCell ref="A5:O5"/>
    <mergeCell ref="Q5:R5"/>
    <mergeCell ref="S5:U5"/>
    <mergeCell ref="V5:W5"/>
    <mergeCell ref="A6:B7"/>
    <mergeCell ref="C6:I6"/>
    <mergeCell ref="M6:M7"/>
    <mergeCell ref="Q6:R6"/>
    <mergeCell ref="S6:U6"/>
    <mergeCell ref="V6:W6"/>
    <mergeCell ref="C7:I7"/>
    <mergeCell ref="Q7:R7"/>
    <mergeCell ref="S7:U7"/>
    <mergeCell ref="V7:W7"/>
    <mergeCell ref="A8:B8"/>
    <mergeCell ref="C8:I8"/>
    <mergeCell ref="Q8:R8"/>
    <mergeCell ref="S8:U8"/>
    <mergeCell ref="V8:W8"/>
    <mergeCell ref="A9:B9"/>
    <mergeCell ref="C9:I9"/>
    <mergeCell ref="Q9:W9"/>
    <mergeCell ref="C10:I10"/>
    <mergeCell ref="Q10:R10"/>
    <mergeCell ref="S10:U10"/>
    <mergeCell ref="V10:W10"/>
    <mergeCell ref="A13:B13"/>
    <mergeCell ref="C13:I13"/>
    <mergeCell ref="Q13:W13"/>
    <mergeCell ref="A10:B12"/>
    <mergeCell ref="C11:I12"/>
    <mergeCell ref="J11:J12"/>
    <mergeCell ref="K11:K12"/>
    <mergeCell ref="Q11:R11"/>
    <mergeCell ref="S11:U11"/>
    <mergeCell ref="V11:W11"/>
    <mergeCell ref="A14:B14"/>
    <mergeCell ref="C14:I14"/>
    <mergeCell ref="Q14:R14"/>
    <mergeCell ref="S14:U15"/>
    <mergeCell ref="V14:W14"/>
    <mergeCell ref="Q15:R15"/>
    <mergeCell ref="V15:W15"/>
    <mergeCell ref="A16:B17"/>
    <mergeCell ref="C16:I17"/>
    <mergeCell ref="J16:J17"/>
    <mergeCell ref="K16:K17"/>
    <mergeCell ref="L16:M17"/>
    <mergeCell ref="N16:N17"/>
    <mergeCell ref="O16:O17"/>
    <mergeCell ref="Q16:W16"/>
    <mergeCell ref="X16:Y16"/>
    <mergeCell ref="Q17:R17"/>
    <mergeCell ref="S17:U17"/>
    <mergeCell ref="V17:W17"/>
    <mergeCell ref="X17:Y17"/>
    <mergeCell ref="Q18:R18"/>
    <mergeCell ref="S18:U18"/>
    <mergeCell ref="V18:W18"/>
    <mergeCell ref="X18:Y18"/>
    <mergeCell ref="A19:B19"/>
    <mergeCell ref="C19:I19"/>
    <mergeCell ref="L19:M19"/>
    <mergeCell ref="Q19:R20"/>
    <mergeCell ref="S19:U20"/>
    <mergeCell ref="V19:W19"/>
    <mergeCell ref="X19:Y19"/>
    <mergeCell ref="A20:B20"/>
    <mergeCell ref="C20:I20"/>
    <mergeCell ref="L20:M20"/>
    <mergeCell ref="V20:W20"/>
    <mergeCell ref="X20:Y20"/>
    <mergeCell ref="A21:O21"/>
    <mergeCell ref="Q21:R22"/>
    <mergeCell ref="S21:U22"/>
    <mergeCell ref="V21:W22"/>
    <mergeCell ref="X21:Y22"/>
    <mergeCell ref="A22:O23"/>
    <mergeCell ref="Q23:R25"/>
    <mergeCell ref="S23:U25"/>
    <mergeCell ref="V23:W23"/>
    <mergeCell ref="X23:Y23"/>
    <mergeCell ref="N24:O24"/>
    <mergeCell ref="V24:W24"/>
    <mergeCell ref="X24:Y24"/>
    <mergeCell ref="A25:F26"/>
    <mergeCell ref="G25:O25"/>
    <mergeCell ref="V25:W25"/>
    <mergeCell ref="X25:Y25"/>
    <mergeCell ref="G26:I26"/>
    <mergeCell ref="J26:K26"/>
    <mergeCell ref="L26:M26"/>
    <mergeCell ref="N26:O26"/>
    <mergeCell ref="Q26:R26"/>
    <mergeCell ref="S26:U26"/>
    <mergeCell ref="V26:W26"/>
    <mergeCell ref="X26:Y26"/>
    <mergeCell ref="A27:C27"/>
    <mergeCell ref="D27:E27"/>
    <mergeCell ref="G27:I27"/>
    <mergeCell ref="J27:K27"/>
    <mergeCell ref="L27:M27"/>
    <mergeCell ref="N27:O27"/>
    <mergeCell ref="Q27:R28"/>
    <mergeCell ref="S27:U28"/>
    <mergeCell ref="V27:W28"/>
    <mergeCell ref="X27:Y28"/>
    <mergeCell ref="A28:C28"/>
    <mergeCell ref="D28:E28"/>
    <mergeCell ref="G28:I28"/>
    <mergeCell ref="J28:K28"/>
    <mergeCell ref="L28:M28"/>
    <mergeCell ref="N28:O28"/>
    <mergeCell ref="A29:O29"/>
    <mergeCell ref="Q29:Y29"/>
    <mergeCell ref="A30:E30"/>
    <mergeCell ref="G30:O30"/>
    <mergeCell ref="Q30:Y30"/>
    <mergeCell ref="A31:E31"/>
    <mergeCell ref="G31:O31"/>
    <mergeCell ref="Q31:Y32"/>
    <mergeCell ref="A32:O32"/>
    <mergeCell ref="A34:Y34"/>
    <mergeCell ref="X35:Y35"/>
    <mergeCell ref="A36:B36"/>
    <mergeCell ref="C36:I36"/>
    <mergeCell ref="Q36:R36"/>
    <mergeCell ref="S36:U36"/>
    <mergeCell ref="V36:W36"/>
    <mergeCell ref="A37:O37"/>
    <mergeCell ref="Q37:Y37"/>
    <mergeCell ref="A38:B38"/>
    <mergeCell ref="C38:I38"/>
    <mergeCell ref="Q38:R38"/>
    <mergeCell ref="S38:U38"/>
    <mergeCell ref="V38:W38"/>
    <mergeCell ref="A39:B39"/>
    <mergeCell ref="C39:I39"/>
    <mergeCell ref="Q39:R39"/>
    <mergeCell ref="S39:U39"/>
    <mergeCell ref="V39:W39"/>
    <mergeCell ref="A40:B40"/>
    <mergeCell ref="C40:I40"/>
    <mergeCell ref="Q40:R40"/>
    <mergeCell ref="S40:U40"/>
    <mergeCell ref="V40:W40"/>
    <mergeCell ref="A41:B41"/>
    <mergeCell ref="C41:I41"/>
    <mergeCell ref="Q41:R41"/>
    <mergeCell ref="S41:U41"/>
    <mergeCell ref="V41:W41"/>
    <mergeCell ref="A42:B42"/>
    <mergeCell ref="C42:I42"/>
    <mergeCell ref="Q42:R42"/>
    <mergeCell ref="S42:U42"/>
    <mergeCell ref="V42:W42"/>
    <mergeCell ref="A43:B43"/>
    <mergeCell ref="C43:I43"/>
    <mergeCell ref="Q43:R43"/>
    <mergeCell ref="S43:U43"/>
    <mergeCell ref="V43:W43"/>
    <mergeCell ref="A44:B45"/>
    <mergeCell ref="C44:I45"/>
    <mergeCell ref="J44:J45"/>
    <mergeCell ref="K44:K45"/>
    <mergeCell ref="L44:L45"/>
    <mergeCell ref="M44:M45"/>
    <mergeCell ref="N44:N45"/>
    <mergeCell ref="O44:O45"/>
    <mergeCell ref="Q44:W44"/>
    <mergeCell ref="Q45:R45"/>
    <mergeCell ref="S45:U45"/>
    <mergeCell ref="V45:W45"/>
    <mergeCell ref="A46:B46"/>
    <mergeCell ref="C46:I46"/>
    <mergeCell ref="Q46:R46"/>
    <mergeCell ref="S46:U46"/>
    <mergeCell ref="V46:W46"/>
    <mergeCell ref="A47:B47"/>
    <mergeCell ref="C47:I47"/>
    <mergeCell ref="Q47:R47"/>
    <mergeCell ref="S47:U47"/>
    <mergeCell ref="V47:W47"/>
    <mergeCell ref="A48:O48"/>
    <mergeCell ref="Q48:W48"/>
    <mergeCell ref="A49:O50"/>
    <mergeCell ref="Q49:R49"/>
    <mergeCell ref="S49:U49"/>
    <mergeCell ref="V49:W49"/>
    <mergeCell ref="Q50:R50"/>
    <mergeCell ref="S50:U50"/>
    <mergeCell ref="V50:W50"/>
    <mergeCell ref="A54:H54"/>
    <mergeCell ref="I54:P54"/>
    <mergeCell ref="A55:F55"/>
    <mergeCell ref="G55:H55"/>
    <mergeCell ref="I55:N55"/>
    <mergeCell ref="O55:P55"/>
    <mergeCell ref="A56:F56"/>
    <mergeCell ref="G56:H56"/>
    <mergeCell ref="A57:F57"/>
    <mergeCell ref="G57:H57"/>
    <mergeCell ref="A58:F58"/>
    <mergeCell ref="G58:H58"/>
    <mergeCell ref="A59:F59"/>
    <mergeCell ref="G59:H59"/>
    <mergeCell ref="A60:F60"/>
    <mergeCell ref="G60:H60"/>
    <mergeCell ref="A61:F61"/>
    <mergeCell ref="G61:H61"/>
    <mergeCell ref="A62:F62"/>
    <mergeCell ref="G62:H62"/>
    <mergeCell ref="A63:F63"/>
    <mergeCell ref="G63:H63"/>
    <mergeCell ref="A64:F64"/>
    <mergeCell ref="G64:H64"/>
    <mergeCell ref="A65:F65"/>
    <mergeCell ref="G65:H65"/>
    <mergeCell ref="A66:F66"/>
    <mergeCell ref="G66:H66"/>
    <mergeCell ref="A67:F67"/>
    <mergeCell ref="G67:H67"/>
    <mergeCell ref="A68:F68"/>
    <mergeCell ref="G68:H68"/>
    <mergeCell ref="A69:F69"/>
    <mergeCell ref="G69:H69"/>
    <mergeCell ref="A70:F70"/>
    <mergeCell ref="G70:H70"/>
    <mergeCell ref="V12:W12"/>
    <mergeCell ref="L11:L12"/>
    <mergeCell ref="M10:M12"/>
    <mergeCell ref="N11:N12"/>
    <mergeCell ref="O11:O12"/>
    <mergeCell ref="Q12:R12"/>
    <mergeCell ref="S12:U12"/>
  </mergeCells>
  <hyperlinks>
    <hyperlink ref="A1" location="Содержание прайса!A1" display="Вернуться в начало"/>
    <hyperlink ref="A1:D1" location="'Содержание прайса'!A1" display="Вернуться в начало"/>
  </hyperlinks>
  <printOptions horizontalCentered="1"/>
  <pageMargins left="0" right="0" top="0.47244094488188981" bottom="0" header="0" footer="0"/>
  <pageSetup paperSize="9" scale="47" orientation="landscape" horizontalDpi="300" verticalDpi="300" r:id="rId1"/>
  <headerFooter scaleWithDoc="0">
    <oddHeader xml:space="preserve">&amp;L&amp;G&amp;R&amp;5Центр поддержки клиентов Grand Line: +7 (495) 748-38-38
cайт: www.grandline.ru   </oddHeader>
    <oddFooter>&amp;R&amp;5Страница 8</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L65"/>
  <sheetViews>
    <sheetView zoomScale="70" zoomScaleNormal="70" workbookViewId="0">
      <selection sqref="A1:C1"/>
    </sheetView>
  </sheetViews>
  <sheetFormatPr defaultRowHeight="12.75"/>
  <cols>
    <col min="1" max="1" width="27.5703125" style="262" customWidth="1"/>
    <col min="2" max="2" width="7.42578125" style="262" customWidth="1"/>
    <col min="3" max="3" width="10.7109375" style="262" customWidth="1"/>
    <col min="4" max="4" width="12.7109375" style="264" customWidth="1"/>
    <col min="5" max="5" width="11.28515625" style="264" customWidth="1"/>
    <col min="6" max="6" width="12.140625" style="264" customWidth="1"/>
    <col min="7" max="7" width="12.28515625" style="264" customWidth="1"/>
    <col min="8" max="8" width="5.28515625" style="262" customWidth="1"/>
    <col min="9" max="9" width="38.42578125" style="262" customWidth="1"/>
    <col min="10" max="10" width="12.140625" style="263" customWidth="1"/>
    <col min="11" max="11" width="18.42578125" style="263" customWidth="1"/>
    <col min="12" max="12" width="11.5703125" style="263" customWidth="1"/>
    <col min="13" max="16384" width="9.140625" style="263"/>
  </cols>
  <sheetData>
    <row r="1" spans="1:12">
      <c r="A1" s="1481" t="s">
        <v>312</v>
      </c>
      <c r="B1" s="1481"/>
      <c r="C1" s="1481"/>
      <c r="D1" s="259"/>
      <c r="E1" s="259"/>
      <c r="F1" s="259"/>
      <c r="G1" s="260"/>
      <c r="H1" s="261"/>
    </row>
    <row r="2" spans="1:12" ht="19.5" customHeight="1" thickBot="1">
      <c r="A2" s="1825" t="s">
        <v>85</v>
      </c>
      <c r="B2" s="1825"/>
      <c r="C2" s="1825"/>
      <c r="D2" s="1825"/>
      <c r="E2" s="1825"/>
      <c r="F2" s="1825"/>
      <c r="G2" s="1825"/>
      <c r="H2" s="1825"/>
      <c r="I2" s="1825"/>
      <c r="J2" s="1174"/>
      <c r="K2" s="737" t="s">
        <v>313</v>
      </c>
      <c r="L2" s="742">
        <v>43283</v>
      </c>
    </row>
    <row r="3" spans="1:12" ht="12.75" customHeight="1">
      <c r="G3" s="265"/>
      <c r="K3" s="266" t="s">
        <v>804</v>
      </c>
      <c r="L3" s="267">
        <v>43283</v>
      </c>
    </row>
    <row r="4" spans="1:12" ht="25.5">
      <c r="A4" s="1826" t="s">
        <v>307</v>
      </c>
      <c r="B4" s="1827" t="s">
        <v>622</v>
      </c>
      <c r="C4" s="1388" t="s">
        <v>3656</v>
      </c>
      <c r="D4" s="1388"/>
      <c r="E4" s="1388"/>
      <c r="F4" s="1388"/>
      <c r="G4" s="1388"/>
      <c r="H4" s="1168"/>
      <c r="I4" s="268" t="s">
        <v>307</v>
      </c>
      <c r="J4" s="268" t="s">
        <v>1026</v>
      </c>
      <c r="K4" s="268" t="s">
        <v>1027</v>
      </c>
      <c r="L4" s="269" t="s">
        <v>559</v>
      </c>
    </row>
    <row r="5" spans="1:12" ht="25.5">
      <c r="A5" s="1826"/>
      <c r="B5" s="1827"/>
      <c r="C5" s="62" t="s">
        <v>3546</v>
      </c>
      <c r="D5" s="62" t="s">
        <v>6677</v>
      </c>
      <c r="E5" s="62" t="s">
        <v>3606</v>
      </c>
      <c r="F5" s="62" t="s">
        <v>3607</v>
      </c>
      <c r="G5" s="62" t="s">
        <v>3608</v>
      </c>
      <c r="H5" s="1169"/>
      <c r="I5" s="1826" t="s">
        <v>1029</v>
      </c>
      <c r="J5" s="1826"/>
      <c r="K5" s="1826"/>
      <c r="L5" s="1826"/>
    </row>
    <row r="6" spans="1:12">
      <c r="A6" s="1826" t="s">
        <v>1028</v>
      </c>
      <c r="B6" s="1826"/>
      <c r="C6" s="1826"/>
      <c r="D6" s="1826"/>
      <c r="E6" s="1826"/>
      <c r="F6" s="1826"/>
      <c r="G6" s="1826"/>
      <c r="H6" s="826"/>
      <c r="I6" s="1828" t="s">
        <v>1030</v>
      </c>
      <c r="J6" s="1829" t="s">
        <v>1031</v>
      </c>
      <c r="K6" s="1831" t="s">
        <v>1032</v>
      </c>
      <c r="L6" s="1834">
        <f>ROUND(1540*Belarus*(1-B55),2)</f>
        <v>1540</v>
      </c>
    </row>
    <row r="7" spans="1:12">
      <c r="A7" s="1836" t="s">
        <v>6691</v>
      </c>
      <c r="B7" s="270" t="s">
        <v>831</v>
      </c>
      <c r="C7" s="272">
        <f>C8/9</f>
        <v>43.511111111111113</v>
      </c>
      <c r="D7" s="272">
        <f>D8/9</f>
        <v>44.31111111111111</v>
      </c>
      <c r="E7" s="272">
        <f>E8/9</f>
        <v>44.177777777777777</v>
      </c>
      <c r="F7" s="272">
        <f>F8/9</f>
        <v>46.777777777777779</v>
      </c>
      <c r="G7" s="272">
        <f>G8/9</f>
        <v>50.3</v>
      </c>
      <c r="H7" s="826"/>
      <c r="I7" s="1828"/>
      <c r="J7" s="1830"/>
      <c r="K7" s="1832"/>
      <c r="L7" s="1835"/>
    </row>
    <row r="8" spans="1:12">
      <c r="A8" s="1837"/>
      <c r="B8" s="270" t="s">
        <v>3227</v>
      </c>
      <c r="C8" s="1170">
        <f>ROUND(391.6*Belarus*(1-B55),2)</f>
        <v>391.6</v>
      </c>
      <c r="D8" s="1170">
        <f>ROUND(398.8*Belarus*(1-B55),2)</f>
        <v>398.8</v>
      </c>
      <c r="E8" s="1170">
        <f>ROUND(397.6*Belarus*(1-B55),2)</f>
        <v>397.6</v>
      </c>
      <c r="F8" s="1170">
        <f>ROUND(421*Belarus*(1-B55),2)</f>
        <v>421</v>
      </c>
      <c r="G8" s="1170">
        <f>ROUND(452.7*Belarus*(1-B55),2)</f>
        <v>452.7</v>
      </c>
      <c r="H8" s="826"/>
      <c r="I8" s="1828"/>
      <c r="J8" s="1829" t="s">
        <v>1033</v>
      </c>
      <c r="K8" s="1832"/>
      <c r="L8" s="1834">
        <f>ROUND(2442*Belarus*(1-B56),2)</f>
        <v>2442</v>
      </c>
    </row>
    <row r="9" spans="1:12">
      <c r="A9" s="1836" t="s">
        <v>6692</v>
      </c>
      <c r="B9" s="270" t="s">
        <v>831</v>
      </c>
      <c r="C9" s="272">
        <f>C10/9</f>
        <v>54.033333333333331</v>
      </c>
      <c r="D9" s="272">
        <f>D10/9</f>
        <v>54.833333333333336</v>
      </c>
      <c r="E9" s="272">
        <f>E10/9</f>
        <v>54.7</v>
      </c>
      <c r="F9" s="272">
        <f>F10/9</f>
        <v>57.288888888888891</v>
      </c>
      <c r="G9" s="272">
        <f>G10/9</f>
        <v>60.822222222222223</v>
      </c>
      <c r="H9" s="826"/>
      <c r="I9" s="1828"/>
      <c r="J9" s="1830"/>
      <c r="K9" s="1832"/>
      <c r="L9" s="1835"/>
    </row>
    <row r="10" spans="1:12">
      <c r="A10" s="1837"/>
      <c r="B10" s="270" t="s">
        <v>3227</v>
      </c>
      <c r="C10" s="1170">
        <f>ROUND(486.3*Belarus*(1-B55),2)</f>
        <v>486.3</v>
      </c>
      <c r="D10" s="1170">
        <f>ROUND(493.5*Belarus*(1-B55),2)</f>
        <v>493.5</v>
      </c>
      <c r="E10" s="1170">
        <f>ROUND(492.3*Belarus*(1-B55),2)</f>
        <v>492.3</v>
      </c>
      <c r="F10" s="1170">
        <f>ROUND(515.6*Belarus*(1-B55),2)</f>
        <v>515.6</v>
      </c>
      <c r="G10" s="1170">
        <f>ROUND(547.4*Belarus*(1-B55),2)</f>
        <v>547.4</v>
      </c>
      <c r="H10" s="826"/>
      <c r="I10" s="1828"/>
      <c r="J10" s="1829" t="s">
        <v>1034</v>
      </c>
      <c r="K10" s="1832"/>
      <c r="L10" s="1834">
        <f>ROUND(2560*Belarus*(1-B57),2)</f>
        <v>2560</v>
      </c>
    </row>
    <row r="11" spans="1:12">
      <c r="A11" s="1836" t="s">
        <v>6693</v>
      </c>
      <c r="B11" s="270" t="s">
        <v>831</v>
      </c>
      <c r="C11" s="272">
        <f>C12/9</f>
        <v>54.888888888888886</v>
      </c>
      <c r="D11" s="272">
        <f>D12/9</f>
        <v>56.144444444444446</v>
      </c>
      <c r="E11" s="272">
        <f>E12/9</f>
        <v>55.93333333333333</v>
      </c>
      <c r="F11" s="272">
        <f>F12/9</f>
        <v>60.022222222222226</v>
      </c>
      <c r="G11" s="272">
        <f>G12/9</f>
        <v>65.566666666666663</v>
      </c>
      <c r="H11" s="826"/>
      <c r="I11" s="1828"/>
      <c r="J11" s="1830"/>
      <c r="K11" s="1833"/>
      <c r="L11" s="1835"/>
    </row>
    <row r="12" spans="1:12">
      <c r="A12" s="1837"/>
      <c r="B12" s="270" t="s">
        <v>3227</v>
      </c>
      <c r="C12" s="1170">
        <f>ROUND(494*Belarus*(1-B55),2)</f>
        <v>494</v>
      </c>
      <c r="D12" s="1170">
        <f>ROUND(505.3*Belarus*(1-B55),2)</f>
        <v>505.3</v>
      </c>
      <c r="E12" s="1170">
        <f>ROUND(503.4*Belarus*(1-B55),2)</f>
        <v>503.4</v>
      </c>
      <c r="F12" s="1170">
        <f>ROUND(540.2*Belarus*(1-B55),2)</f>
        <v>540.20000000000005</v>
      </c>
      <c r="G12" s="1170">
        <f>ROUND(590.1*Belarus*(1-B55),2)</f>
        <v>590.1</v>
      </c>
      <c r="H12" s="826"/>
      <c r="I12" s="1828" t="s">
        <v>6673</v>
      </c>
      <c r="J12" s="1829" t="s">
        <v>1033</v>
      </c>
      <c r="K12" s="1829" t="s">
        <v>1035</v>
      </c>
      <c r="L12" s="1834">
        <f>ROUND(1657*Belarus*(1-B59),2)</f>
        <v>1657</v>
      </c>
    </row>
    <row r="13" spans="1:12">
      <c r="A13" s="1836" t="s">
        <v>6694</v>
      </c>
      <c r="B13" s="270" t="s">
        <v>831</v>
      </c>
      <c r="C13" s="272">
        <f>C14/9</f>
        <v>66.077777777777783</v>
      </c>
      <c r="D13" s="272">
        <f>D14/9</f>
        <v>67.333333333333329</v>
      </c>
      <c r="E13" s="272">
        <f>E14/9</f>
        <v>67.12222222222222</v>
      </c>
      <c r="F13" s="272">
        <f>F14/9</f>
        <v>71.199999999999989</v>
      </c>
      <c r="G13" s="272">
        <f>G14/9</f>
        <v>76.755555555555546</v>
      </c>
      <c r="H13" s="826"/>
      <c r="I13" s="1828"/>
      <c r="J13" s="1830"/>
      <c r="K13" s="1830"/>
      <c r="L13" s="1835"/>
    </row>
    <row r="14" spans="1:12">
      <c r="A14" s="1837"/>
      <c r="B14" s="270" t="s">
        <v>3227</v>
      </c>
      <c r="C14" s="1170">
        <f>ROUND(594.7*Belarus*(1-B55),2)</f>
        <v>594.70000000000005</v>
      </c>
      <c r="D14" s="1170">
        <f>ROUND(606*Belarus*(1-B55),2)</f>
        <v>606</v>
      </c>
      <c r="E14" s="1170">
        <f>ROUND(604.1*Belarus*(1-B55),2)</f>
        <v>604.1</v>
      </c>
      <c r="F14" s="1170">
        <f>ROUND(640.8*Belarus*(1-B55),2)</f>
        <v>640.79999999999995</v>
      </c>
      <c r="G14" s="1170">
        <f>ROUND(690.8*Belarus*(1-B55),2)</f>
        <v>690.8</v>
      </c>
      <c r="H14" s="826"/>
      <c r="I14" s="1838" t="s">
        <v>1036</v>
      </c>
      <c r="J14" s="1839"/>
      <c r="K14" s="1839"/>
      <c r="L14" s="1840"/>
    </row>
    <row r="15" spans="1:12">
      <c r="A15" s="1836" t="s">
        <v>6695</v>
      </c>
      <c r="B15" s="270" t="s">
        <v>831</v>
      </c>
      <c r="C15" s="272">
        <f>C16/10</f>
        <v>46.94</v>
      </c>
      <c r="D15" s="272">
        <f>D16/10</f>
        <v>47.769999999999996</v>
      </c>
      <c r="E15" s="272">
        <f>E16/10</f>
        <v>47.64</v>
      </c>
      <c r="F15" s="272">
        <f>F16/10</f>
        <v>50.339999999999996</v>
      </c>
      <c r="G15" s="272">
        <f>G16/10</f>
        <v>54.02</v>
      </c>
      <c r="H15" s="826"/>
      <c r="I15" s="1841"/>
      <c r="J15" s="1842"/>
      <c r="K15" s="1842"/>
      <c r="L15" s="1843"/>
    </row>
    <row r="16" spans="1:12">
      <c r="A16" s="1837"/>
      <c r="B16" s="270" t="s">
        <v>3227</v>
      </c>
      <c r="C16" s="1170">
        <f>ROUND(469.4*Belarus*(1-B55),2)</f>
        <v>469.4</v>
      </c>
      <c r="D16" s="1170">
        <f>ROUND(477.7*Belarus*(1-B55),2)</f>
        <v>477.7</v>
      </c>
      <c r="E16" s="1170">
        <f>ROUND(476.4*Belarus*(1-B55),2)</f>
        <v>476.4</v>
      </c>
      <c r="F16" s="1170">
        <f>ROUND(503.4*Belarus*(1-B55),2)</f>
        <v>503.4</v>
      </c>
      <c r="G16" s="1170">
        <f>ROUND(540.2*Belarus*(1-B55),2)</f>
        <v>540.20000000000005</v>
      </c>
      <c r="H16" s="826"/>
      <c r="I16" s="1844" t="s">
        <v>1037</v>
      </c>
      <c r="J16" s="1829" t="s">
        <v>1038</v>
      </c>
      <c r="K16" s="1829" t="s">
        <v>1039</v>
      </c>
      <c r="L16" s="1834">
        <f>ROUND(3040*Belarus*(1-B56),2)</f>
        <v>3040</v>
      </c>
    </row>
    <row r="17" spans="1:12">
      <c r="A17" s="1836" t="s">
        <v>6696</v>
      </c>
      <c r="B17" s="270" t="s">
        <v>831</v>
      </c>
      <c r="C17" s="272">
        <f>C18/10</f>
        <v>54.45</v>
      </c>
      <c r="D17" s="272">
        <f>D18/10</f>
        <v>55.629999999999995</v>
      </c>
      <c r="E17" s="272">
        <f>E18/10</f>
        <v>55.429999999999993</v>
      </c>
      <c r="F17" s="272">
        <f>F18/10</f>
        <v>59.29</v>
      </c>
      <c r="G17" s="272">
        <f>G18/10</f>
        <v>64.53</v>
      </c>
      <c r="H17" s="826"/>
      <c r="I17" s="1845"/>
      <c r="J17" s="1830"/>
      <c r="K17" s="1830"/>
      <c r="L17" s="1835"/>
    </row>
    <row r="18" spans="1:12">
      <c r="A18" s="1837"/>
      <c r="B18" s="270" t="s">
        <v>3227</v>
      </c>
      <c r="C18" s="1170">
        <f>ROUND(544.5*Belarus*(1-B55),2)</f>
        <v>544.5</v>
      </c>
      <c r="D18" s="1170">
        <f>ROUND(556.3*Belarus*(1-B55),2)</f>
        <v>556.29999999999995</v>
      </c>
      <c r="E18" s="1170">
        <f>ROUND(554.3*Belarus*(1-B55),2)</f>
        <v>554.29999999999995</v>
      </c>
      <c r="F18" s="1170">
        <f>ROUND(592.9*Belarus*(1-B55),2)</f>
        <v>592.9</v>
      </c>
      <c r="G18" s="1170">
        <f>ROUND(645.3*Belarus*(1-B55),2)</f>
        <v>645.29999999999995</v>
      </c>
      <c r="H18" s="826"/>
      <c r="I18" s="1844" t="s">
        <v>1040</v>
      </c>
      <c r="J18" s="1829" t="s">
        <v>1041</v>
      </c>
      <c r="K18" s="1829" t="s">
        <v>1039</v>
      </c>
      <c r="L18" s="1834">
        <f>ROUND(796*Belarus*(1-B56),2)</f>
        <v>796</v>
      </c>
    </row>
    <row r="19" spans="1:12">
      <c r="A19" s="1836" t="s">
        <v>6697</v>
      </c>
      <c r="B19" s="270" t="s">
        <v>831</v>
      </c>
      <c r="C19" s="272">
        <f>C20/10</f>
        <v>60.820000000000007</v>
      </c>
      <c r="D19" s="272">
        <f>D20/10</f>
        <v>61.83</v>
      </c>
      <c r="E19" s="272">
        <f>E20/10</f>
        <v>61.660000000000004</v>
      </c>
      <c r="F19" s="272">
        <f>F20/10</f>
        <v>64.929999999999993</v>
      </c>
      <c r="G19" s="272">
        <f>G20/10</f>
        <v>69.38</v>
      </c>
      <c r="H19" s="826"/>
      <c r="I19" s="1846"/>
      <c r="J19" s="1830"/>
      <c r="K19" s="1847"/>
      <c r="L19" s="1835"/>
    </row>
    <row r="20" spans="1:12">
      <c r="A20" s="1837"/>
      <c r="B20" s="270" t="s">
        <v>3227</v>
      </c>
      <c r="C20" s="1170">
        <f>ROUND(608.2*Belarus*(1-B55),2)</f>
        <v>608.20000000000005</v>
      </c>
      <c r="D20" s="1170">
        <f>ROUND(618.3*Belarus*(1-B55),2)</f>
        <v>618.29999999999995</v>
      </c>
      <c r="E20" s="1170">
        <f>ROUND(616.6*Belarus*(1-B55),2)</f>
        <v>616.6</v>
      </c>
      <c r="F20" s="1170">
        <f>ROUND(649.3*Belarus*(1-B55),2)</f>
        <v>649.29999999999995</v>
      </c>
      <c r="G20" s="1170">
        <f>ROUND(693.8*Belarus*(1-B55),2)</f>
        <v>693.8</v>
      </c>
      <c r="H20" s="826"/>
      <c r="I20" s="1846"/>
      <c r="J20" s="1829" t="s">
        <v>1042</v>
      </c>
      <c r="K20" s="1847"/>
      <c r="L20" s="1834">
        <f>ROUND(2365*Belarus*(1-B56),2)</f>
        <v>2365</v>
      </c>
    </row>
    <row r="21" spans="1:12">
      <c r="A21" s="1836" t="s">
        <v>6698</v>
      </c>
      <c r="B21" s="270" t="s">
        <v>831</v>
      </c>
      <c r="C21" s="272">
        <f>C22/15</f>
        <v>60.846666666666671</v>
      </c>
      <c r="D21" s="272">
        <f>D22/15</f>
        <v>61.86</v>
      </c>
      <c r="E21" s="272">
        <f>E22/15</f>
        <v>61.693333333333335</v>
      </c>
      <c r="F21" s="272">
        <f>C22/15</f>
        <v>60.846666666666671</v>
      </c>
      <c r="G21" s="272">
        <f>G22/15</f>
        <v>69.466666666666669</v>
      </c>
      <c r="H21" s="826"/>
      <c r="I21" s="1846"/>
      <c r="J21" s="1830"/>
      <c r="K21" s="1847"/>
      <c r="L21" s="1835"/>
    </row>
    <row r="22" spans="1:12">
      <c r="A22" s="1837"/>
      <c r="B22" s="270" t="s">
        <v>3227</v>
      </c>
      <c r="C22" s="1170">
        <f>ROUND(912.7*Belarus*(1-B55),2)</f>
        <v>912.7</v>
      </c>
      <c r="D22" s="1170">
        <f>ROUND(927.9*Belarus*(1-B55),2)</f>
        <v>927.9</v>
      </c>
      <c r="E22" s="1170">
        <f>ROUND(925.4*Belarus*(1-B55),2)</f>
        <v>925.4</v>
      </c>
      <c r="F22" s="1170">
        <f>ROUND(974.8*Belarus*(1-B55),2)</f>
        <v>974.8</v>
      </c>
      <c r="G22" s="1170">
        <f>ROUND(1042*Belarus*(1-B55),2)</f>
        <v>1042</v>
      </c>
      <c r="H22" s="826"/>
      <c r="I22" s="1846"/>
      <c r="J22" s="1829" t="s">
        <v>1038</v>
      </c>
      <c r="K22" s="1847"/>
      <c r="L22" s="1834">
        <f>ROUND(4000*Belarus*(1-B56),2)</f>
        <v>4000</v>
      </c>
    </row>
    <row r="23" spans="1:12">
      <c r="A23" s="1836" t="s">
        <v>6699</v>
      </c>
      <c r="B23" s="270" t="s">
        <v>831</v>
      </c>
      <c r="C23" s="272">
        <f>C24/10</f>
        <v>68.8</v>
      </c>
      <c r="D23" s="272">
        <f>D24/10</f>
        <v>70.13</v>
      </c>
      <c r="E23" s="272">
        <f>E24/10</f>
        <v>69.91</v>
      </c>
      <c r="F23" s="272">
        <f>F24/10</f>
        <v>74.22999999999999</v>
      </c>
      <c r="G23" s="272">
        <f>G24/10</f>
        <v>80.099999999999994</v>
      </c>
      <c r="H23" s="826"/>
      <c r="I23" s="1845"/>
      <c r="J23" s="1830"/>
      <c r="K23" s="1830"/>
      <c r="L23" s="1835"/>
    </row>
    <row r="24" spans="1:12">
      <c r="A24" s="1837"/>
      <c r="B24" s="270" t="s">
        <v>3227</v>
      </c>
      <c r="C24" s="1170">
        <f>ROUND(688*Belarus*(1-B55),2)</f>
        <v>688</v>
      </c>
      <c r="D24" s="1170">
        <f>ROUND(701.3*Belarus*(1-B55),2)</f>
        <v>701.3</v>
      </c>
      <c r="E24" s="1170">
        <f>ROUND(699.1*Belarus*(1-B55),2)</f>
        <v>699.1</v>
      </c>
      <c r="F24" s="1170">
        <f>ROUND(742.3*Belarus*(1-B55),2)</f>
        <v>742.3</v>
      </c>
      <c r="G24" s="1170">
        <f>ROUND(801*Belarus*(1-B55),2)</f>
        <v>801</v>
      </c>
      <c r="H24" s="826"/>
      <c r="I24" s="1844" t="s">
        <v>1043</v>
      </c>
      <c r="J24" s="1829" t="s">
        <v>1041</v>
      </c>
      <c r="K24" s="1829" t="s">
        <v>1044</v>
      </c>
      <c r="L24" s="1834">
        <f>ROUND(612*Belarus*(1-B56),2)</f>
        <v>612</v>
      </c>
    </row>
    <row r="25" spans="1:12">
      <c r="A25" s="1836" t="s">
        <v>6700</v>
      </c>
      <c r="B25" s="270" t="s">
        <v>831</v>
      </c>
      <c r="C25" s="272">
        <f>C26/10</f>
        <v>59.71</v>
      </c>
      <c r="D25" s="272">
        <f>D26/10</f>
        <v>60.54</v>
      </c>
      <c r="E25" s="272">
        <f>E26/10</f>
        <v>60.410000000000004</v>
      </c>
      <c r="F25" s="272">
        <f>F26/10</f>
        <v>63.11</v>
      </c>
      <c r="G25" s="272">
        <f>G26/10</f>
        <v>66.789999999999992</v>
      </c>
      <c r="H25" s="826"/>
      <c r="I25" s="1846"/>
      <c r="J25" s="1830"/>
      <c r="K25" s="1847"/>
      <c r="L25" s="1835"/>
    </row>
    <row r="26" spans="1:12">
      <c r="A26" s="1837"/>
      <c r="B26" s="270" t="s">
        <v>3227</v>
      </c>
      <c r="C26" s="1170">
        <f>ROUND(597.1*Belarus*(1-B55),2)</f>
        <v>597.1</v>
      </c>
      <c r="D26" s="1170">
        <f>ROUND(605.4*Belarus*(1-B55),2)</f>
        <v>605.4</v>
      </c>
      <c r="E26" s="1170">
        <f>ROUND(604.1*Belarus*(1-B55),2)</f>
        <v>604.1</v>
      </c>
      <c r="F26" s="1170">
        <f>ROUND(631.1*Belarus*(1-B55),2)</f>
        <v>631.1</v>
      </c>
      <c r="G26" s="1170">
        <f>ROUND(667.9*Belarus*(1-B55),2)</f>
        <v>667.9</v>
      </c>
      <c r="H26" s="826"/>
      <c r="I26" s="1846"/>
      <c r="J26" s="1829" t="s">
        <v>1042</v>
      </c>
      <c r="K26" s="1847"/>
      <c r="L26" s="1834">
        <f>ROUND(1663*Belarus*(1-B56),2)</f>
        <v>1663</v>
      </c>
    </row>
    <row r="27" spans="1:12">
      <c r="A27" s="1836" t="s">
        <v>6701</v>
      </c>
      <c r="B27" s="270" t="s">
        <v>831</v>
      </c>
      <c r="C27" s="272">
        <f>C28/10</f>
        <v>65.55</v>
      </c>
      <c r="D27" s="272">
        <f>D28/10</f>
        <v>66.739999999999995</v>
      </c>
      <c r="E27" s="272">
        <f>E28/10</f>
        <v>66.539999999999992</v>
      </c>
      <c r="F27" s="272">
        <f>F28/10</f>
        <v>70.400000000000006</v>
      </c>
      <c r="G27" s="272">
        <f>G28/10</f>
        <v>75.64</v>
      </c>
      <c r="H27" s="826"/>
      <c r="I27" s="1846"/>
      <c r="J27" s="1830"/>
      <c r="K27" s="1847"/>
      <c r="L27" s="1835"/>
    </row>
    <row r="28" spans="1:12">
      <c r="A28" s="1837"/>
      <c r="B28" s="270" t="s">
        <v>3227</v>
      </c>
      <c r="C28" s="1170">
        <f>ROUND(655.5*Belarus*(1-B55),2)</f>
        <v>655.5</v>
      </c>
      <c r="D28" s="1170">
        <f>ROUND(667.4*Belarus*(1-B55),2)</f>
        <v>667.4</v>
      </c>
      <c r="E28" s="1170">
        <f>ROUND(665.4*Belarus*(1-B55),2)</f>
        <v>665.4</v>
      </c>
      <c r="F28" s="1170">
        <f>ROUND(704*Belarus*(1-B55),2)</f>
        <v>704</v>
      </c>
      <c r="G28" s="1170">
        <f>ROUND(756.4*Belarus*(1-B55),2)</f>
        <v>756.4</v>
      </c>
      <c r="H28" s="826"/>
      <c r="I28" s="1846"/>
      <c r="J28" s="1829" t="s">
        <v>1038</v>
      </c>
      <c r="K28" s="1847"/>
      <c r="L28" s="1834">
        <f>ROUND(2515*Belarus*(1-B56),2)</f>
        <v>2515</v>
      </c>
    </row>
    <row r="29" spans="1:12">
      <c r="A29" s="1836" t="s">
        <v>6702</v>
      </c>
      <c r="B29" s="270" t="s">
        <v>831</v>
      </c>
      <c r="C29" s="272">
        <f>C30/10</f>
        <v>75.239999999999995</v>
      </c>
      <c r="D29" s="272">
        <f>D30/10</f>
        <v>76.25</v>
      </c>
      <c r="E29" s="272">
        <f>E30/10</f>
        <v>76.08</v>
      </c>
      <c r="F29" s="272">
        <f>F30/10</f>
        <v>79.349999999999994</v>
      </c>
      <c r="G29" s="272">
        <f>G30/10</f>
        <v>83.8</v>
      </c>
      <c r="H29" s="826"/>
      <c r="I29" s="1845"/>
      <c r="J29" s="1830"/>
      <c r="K29" s="1830"/>
      <c r="L29" s="1835"/>
    </row>
    <row r="30" spans="1:12">
      <c r="A30" s="1837"/>
      <c r="B30" s="270" t="s">
        <v>3227</v>
      </c>
      <c r="C30" s="1170">
        <f>ROUND(752.4*Belarus*(1-B55),2)</f>
        <v>752.4</v>
      </c>
      <c r="D30" s="1170">
        <f>ROUND(762.5*Belarus*(1-B55),2)</f>
        <v>762.5</v>
      </c>
      <c r="E30" s="1170">
        <f>ROUND(760.8*Belarus*(1-B55),2)</f>
        <v>760.8</v>
      </c>
      <c r="F30" s="1170">
        <f>ROUND(793.5*Belarus*(1-B55),2)</f>
        <v>793.5</v>
      </c>
      <c r="G30" s="1170">
        <f>ROUND(838*Belarus*(1-B55),2)</f>
        <v>838</v>
      </c>
      <c r="H30" s="826"/>
      <c r="I30" s="1844" t="s">
        <v>6674</v>
      </c>
      <c r="J30" s="1829" t="s">
        <v>1045</v>
      </c>
      <c r="K30" s="1829" t="s">
        <v>1039</v>
      </c>
      <c r="L30" s="1834">
        <f>ROUND(2178*Belarus*(1-B56),2)</f>
        <v>2178</v>
      </c>
    </row>
    <row r="31" spans="1:12">
      <c r="A31" s="1836" t="s">
        <v>6703</v>
      </c>
      <c r="B31" s="270" t="s">
        <v>831</v>
      </c>
      <c r="C31" s="272">
        <f>C32/15</f>
        <v>75.266666666666666</v>
      </c>
      <c r="D31" s="272">
        <f>D32/15</f>
        <v>76.28</v>
      </c>
      <c r="E31" s="272">
        <f>E32/15</f>
        <v>76.11333333333333</v>
      </c>
      <c r="F31" s="272">
        <f>F32/15</f>
        <v>79.406666666666666</v>
      </c>
      <c r="G31" s="272">
        <f>G32/15</f>
        <v>83.88666666666667</v>
      </c>
      <c r="H31" s="826"/>
      <c r="I31" s="1845"/>
      <c r="J31" s="1830"/>
      <c r="K31" s="1830"/>
      <c r="L31" s="1835"/>
    </row>
    <row r="32" spans="1:12">
      <c r="A32" s="1837"/>
      <c r="B32" s="270" t="s">
        <v>3227</v>
      </c>
      <c r="C32" s="1170">
        <f>ROUND(1129*Belarus*(1-B55),2)</f>
        <v>1129</v>
      </c>
      <c r="D32" s="1170">
        <f>ROUND(1144.2*Belarus*(1-B55),2)</f>
        <v>1144.2</v>
      </c>
      <c r="E32" s="1170">
        <f>ROUND(1141.7*Belarus*(1-B55),2)</f>
        <v>1141.7</v>
      </c>
      <c r="F32" s="1170">
        <f>ROUND(1191.1*Belarus*(1-B55),2)</f>
        <v>1191.0999999999999</v>
      </c>
      <c r="G32" s="1170">
        <f>ROUND(1258.3*Belarus*(1-B55),2)</f>
        <v>1258.3</v>
      </c>
      <c r="H32" s="826"/>
      <c r="I32" s="1844" t="s">
        <v>1046</v>
      </c>
      <c r="J32" s="1829" t="s">
        <v>1047</v>
      </c>
      <c r="K32" s="1829" t="s">
        <v>1048</v>
      </c>
      <c r="L32" s="1834">
        <f>ROUND(1954*Belarus*(1-B56),2)</f>
        <v>1954</v>
      </c>
    </row>
    <row r="33" spans="1:12">
      <c r="A33" s="1836" t="s">
        <v>6704</v>
      </c>
      <c r="B33" s="270" t="s">
        <v>831</v>
      </c>
      <c r="C33" s="272">
        <f>C34/10</f>
        <v>84.289999999999992</v>
      </c>
      <c r="D33" s="272">
        <f>D34/10</f>
        <v>85.62</v>
      </c>
      <c r="E33" s="272">
        <f>E34/10</f>
        <v>85.4</v>
      </c>
      <c r="F33" s="272">
        <f>F34/10</f>
        <v>89.72</v>
      </c>
      <c r="G33" s="272">
        <f>G34/10</f>
        <v>95.59</v>
      </c>
      <c r="H33" s="826"/>
      <c r="I33" s="1845"/>
      <c r="J33" s="1830"/>
      <c r="K33" s="1830"/>
      <c r="L33" s="1835"/>
    </row>
    <row r="34" spans="1:12">
      <c r="A34" s="1837"/>
      <c r="B34" s="270" t="s">
        <v>3227</v>
      </c>
      <c r="C34" s="1170">
        <f>ROUND(842.9*Belarus*(1-B55),2)</f>
        <v>842.9</v>
      </c>
      <c r="D34" s="1170">
        <f>ROUND(856.2*Belarus*(1-B55),2)</f>
        <v>856.2</v>
      </c>
      <c r="E34" s="1170">
        <f>ROUND(854*Belarus*(1-B55),2)</f>
        <v>854</v>
      </c>
      <c r="F34" s="1170">
        <f>ROUND(897.2*Belarus*(1-B55),2)</f>
        <v>897.2</v>
      </c>
      <c r="G34" s="1170">
        <f>ROUND(955.9*Belarus*(1-B55),2)</f>
        <v>955.9</v>
      </c>
      <c r="H34" s="826"/>
      <c r="I34" s="1844" t="s">
        <v>1049</v>
      </c>
      <c r="J34" s="1829" t="s">
        <v>1041</v>
      </c>
      <c r="K34" s="1829" t="s">
        <v>1050</v>
      </c>
      <c r="L34" s="1834">
        <f>ROUND(1210*Belarus*(1-B56),2)</f>
        <v>1210</v>
      </c>
    </row>
    <row r="35" spans="1:12">
      <c r="A35" s="1836" t="s">
        <v>6705</v>
      </c>
      <c r="B35" s="270" t="s">
        <v>831</v>
      </c>
      <c r="C35" s="272">
        <f>C36/15</f>
        <v>19.399999999999999</v>
      </c>
      <c r="D35" s="272">
        <f>D36/15</f>
        <v>19.773333333333333</v>
      </c>
      <c r="E35" s="272">
        <f>E36/15</f>
        <v>19.713333333333331</v>
      </c>
      <c r="F35" s="272">
        <f>F36/15</f>
        <v>20.913333333333334</v>
      </c>
      <c r="G35" s="272">
        <f>G36/15</f>
        <v>22.553333333333335</v>
      </c>
      <c r="H35" s="826"/>
      <c r="I35" s="1845"/>
      <c r="J35" s="1830"/>
      <c r="K35" s="1830"/>
      <c r="L35" s="1835"/>
    </row>
    <row r="36" spans="1:12">
      <c r="A36" s="1837"/>
      <c r="B36" s="270" t="s">
        <v>3227</v>
      </c>
      <c r="C36" s="1170">
        <f>ROUND(291*Belarus*(1-B55),2)</f>
        <v>291</v>
      </c>
      <c r="D36" s="1170">
        <f>ROUND(296.6*Belarus*(1-B55),2)</f>
        <v>296.60000000000002</v>
      </c>
      <c r="E36" s="1170">
        <f>ROUND(295.7*Belarus*(1-B55),2)</f>
        <v>295.7</v>
      </c>
      <c r="F36" s="1170">
        <f>ROUND(313.7*Belarus*(1-B55),2)</f>
        <v>313.7</v>
      </c>
      <c r="G36" s="1170">
        <f>ROUND(338.3*Belarus*(1-B55),2)</f>
        <v>338.3</v>
      </c>
      <c r="H36" s="826"/>
      <c r="I36" s="1828" t="s">
        <v>1051</v>
      </c>
      <c r="J36" s="1829" t="s">
        <v>1052</v>
      </c>
      <c r="K36" s="1848" t="s">
        <v>1048</v>
      </c>
      <c r="L36" s="1834">
        <f>ROUND(300*Belarus*(1-B55),2)</f>
        <v>300</v>
      </c>
    </row>
    <row r="37" spans="1:12">
      <c r="A37" s="1836" t="s">
        <v>6706</v>
      </c>
      <c r="B37" s="270" t="s">
        <v>831</v>
      </c>
      <c r="C37" s="272">
        <f>C38/15</f>
        <v>21.466666666666665</v>
      </c>
      <c r="D37" s="272">
        <f>D38/15</f>
        <v>21.893333333333331</v>
      </c>
      <c r="E37" s="272">
        <f>E38/15</f>
        <v>21.82</v>
      </c>
      <c r="F37" s="272">
        <f>F38/15</f>
        <v>23.193333333333332</v>
      </c>
      <c r="G37" s="272">
        <f>G38/15</f>
        <v>25.053333333333335</v>
      </c>
      <c r="H37" s="826"/>
      <c r="I37" s="1828"/>
      <c r="J37" s="1830"/>
      <c r="K37" s="1848"/>
      <c r="L37" s="1835"/>
    </row>
    <row r="38" spans="1:12" ht="25.5">
      <c r="A38" s="1837"/>
      <c r="B38" s="270" t="s">
        <v>3227</v>
      </c>
      <c r="C38" s="1170">
        <f>ROUND(322*Belarus*(1-B55),2)</f>
        <v>322</v>
      </c>
      <c r="D38" s="271">
        <f>ROUND(328.4*Belarus*(1-B55),2)</f>
        <v>328.4</v>
      </c>
      <c r="E38" s="271">
        <f>ROUND(327.3*Belarus*(1-B55),2)</f>
        <v>327.3</v>
      </c>
      <c r="F38" s="271">
        <f>ROUND(347.9*Belarus*(1-B55),2)</f>
        <v>347.9</v>
      </c>
      <c r="G38" s="271">
        <f>ROUND(375.8*Belarus*(1-B55),2)</f>
        <v>375.8</v>
      </c>
      <c r="H38" s="826"/>
      <c r="I38" s="1828"/>
      <c r="J38" s="271" t="s">
        <v>1053</v>
      </c>
      <c r="K38" s="1848"/>
      <c r="L38" s="1161">
        <f>ROUND(62*Belarus*(1-B55),2)</f>
        <v>62</v>
      </c>
    </row>
    <row r="39" spans="1:12">
      <c r="D39" s="262"/>
      <c r="H39" s="264"/>
      <c r="I39" s="1826" t="s">
        <v>1054</v>
      </c>
      <c r="J39" s="1826"/>
      <c r="K39" s="1826"/>
      <c r="L39" s="1826"/>
    </row>
    <row r="40" spans="1:12">
      <c r="D40" s="262"/>
      <c r="I40" s="1826"/>
      <c r="J40" s="1826"/>
      <c r="K40" s="1826"/>
      <c r="L40" s="1826"/>
    </row>
    <row r="41" spans="1:12">
      <c r="A41" s="1826" t="s">
        <v>420</v>
      </c>
      <c r="B41" s="1826"/>
      <c r="C41" s="1826"/>
      <c r="D41" s="1826"/>
      <c r="E41" s="1826"/>
      <c r="F41" s="1826"/>
      <c r="G41" s="1826"/>
      <c r="I41" s="1828" t="s">
        <v>1055</v>
      </c>
      <c r="J41" s="1848" t="s">
        <v>1042</v>
      </c>
      <c r="K41" s="1848" t="s">
        <v>1056</v>
      </c>
      <c r="L41" s="1834">
        <f>ROUND(915*Belarus*(1-B56),2)</f>
        <v>915</v>
      </c>
    </row>
    <row r="42" spans="1:12">
      <c r="A42" s="1826"/>
      <c r="B42" s="1826"/>
      <c r="C42" s="1826"/>
      <c r="D42" s="1826"/>
      <c r="E42" s="1826"/>
      <c r="F42" s="1826"/>
      <c r="G42" s="1826"/>
      <c r="I42" s="1828"/>
      <c r="J42" s="1848"/>
      <c r="K42" s="1848"/>
      <c r="L42" s="1835"/>
    </row>
    <row r="43" spans="1:12">
      <c r="A43" s="1828" t="s">
        <v>1057</v>
      </c>
      <c r="B43" s="1828"/>
      <c r="C43" s="1828"/>
      <c r="D43" s="1828"/>
      <c r="E43" s="1828"/>
      <c r="F43" s="1828"/>
      <c r="G43" s="1828"/>
      <c r="I43" s="1828" t="s">
        <v>1058</v>
      </c>
      <c r="J43" s="1848" t="s">
        <v>1059</v>
      </c>
      <c r="K43" s="1848" t="s">
        <v>1060</v>
      </c>
      <c r="L43" s="1834">
        <f>ROUND(2634*Belarus*(1-B56),2)</f>
        <v>2634</v>
      </c>
    </row>
    <row r="44" spans="1:12">
      <c r="A44" s="1828" t="s">
        <v>1061</v>
      </c>
      <c r="B44" s="1828"/>
      <c r="C44" s="1828"/>
      <c r="D44" s="1828"/>
      <c r="E44" s="1828"/>
      <c r="F44" s="1828"/>
      <c r="G44" s="1828"/>
      <c r="I44" s="1828"/>
      <c r="J44" s="1848"/>
      <c r="K44" s="1848"/>
      <c r="L44" s="1835"/>
    </row>
    <row r="45" spans="1:12">
      <c r="A45" s="1828"/>
      <c r="B45" s="1828"/>
      <c r="C45" s="1828"/>
      <c r="D45" s="1828"/>
      <c r="E45" s="1828"/>
      <c r="F45" s="1828"/>
      <c r="G45" s="1828"/>
      <c r="I45" s="1828" t="s">
        <v>1062</v>
      </c>
      <c r="J45" s="271" t="s">
        <v>1063</v>
      </c>
      <c r="K45" s="1829" t="s">
        <v>1064</v>
      </c>
      <c r="L45" s="1161">
        <f>ROUND(2865*Belarus*(1-B56),2)</f>
        <v>2865</v>
      </c>
    </row>
    <row r="46" spans="1:12">
      <c r="A46" s="1828" t="s">
        <v>1065</v>
      </c>
      <c r="B46" s="1828"/>
      <c r="C46" s="1828"/>
      <c r="D46" s="1828"/>
      <c r="E46" s="1828"/>
      <c r="F46" s="1828"/>
      <c r="G46" s="1828"/>
      <c r="H46" s="264"/>
      <c r="I46" s="1828"/>
      <c r="J46" s="271" t="s">
        <v>1066</v>
      </c>
      <c r="K46" s="1847"/>
      <c r="L46" s="1161">
        <f>ROUND(964*Belarus*(1-B56),2)</f>
        <v>964</v>
      </c>
    </row>
    <row r="47" spans="1:12" ht="25.5">
      <c r="A47" s="1828" t="s">
        <v>1067</v>
      </c>
      <c r="B47" s="1828"/>
      <c r="C47" s="1828"/>
      <c r="D47" s="1828"/>
      <c r="E47" s="1828"/>
      <c r="F47" s="1828"/>
      <c r="G47" s="1828"/>
      <c r="H47" s="264"/>
      <c r="I47" s="1828"/>
      <c r="J47" s="271" t="s">
        <v>1053</v>
      </c>
      <c r="K47" s="1830"/>
      <c r="L47" s="1161">
        <f>ROUND(187*Belarus*(1-B56),2)</f>
        <v>187</v>
      </c>
    </row>
    <row r="48" spans="1:12">
      <c r="D48" s="262"/>
      <c r="H48" s="264"/>
      <c r="I48" s="264"/>
      <c r="J48" s="262"/>
      <c r="K48" s="262"/>
      <c r="L48" s="264"/>
    </row>
    <row r="49" spans="1:12">
      <c r="D49" s="262"/>
      <c r="H49" s="264"/>
      <c r="I49" s="264"/>
      <c r="J49" s="262"/>
      <c r="K49" s="262"/>
      <c r="L49" s="264"/>
    </row>
    <row r="50" spans="1:12">
      <c r="D50" s="262"/>
      <c r="H50" s="264"/>
      <c r="I50" s="264"/>
      <c r="J50" s="262"/>
      <c r="K50" s="262"/>
      <c r="L50" s="264"/>
    </row>
    <row r="51" spans="1:12">
      <c r="D51" s="262"/>
      <c r="H51" s="264"/>
      <c r="J51" s="262"/>
      <c r="K51" s="264"/>
      <c r="L51" s="262"/>
    </row>
    <row r="52" spans="1:12">
      <c r="D52" s="262"/>
      <c r="H52" s="264"/>
      <c r="I52" s="264"/>
      <c r="J52" s="262"/>
      <c r="K52" s="262"/>
      <c r="L52" s="264"/>
    </row>
    <row r="53" spans="1:12">
      <c r="D53" s="262"/>
      <c r="H53" s="264"/>
      <c r="I53" s="264"/>
      <c r="J53" s="262"/>
      <c r="K53" s="262"/>
      <c r="L53" s="264"/>
    </row>
    <row r="54" spans="1:12">
      <c r="A54" s="1849" t="s">
        <v>508</v>
      </c>
      <c r="B54" s="1850"/>
      <c r="H54" s="264"/>
      <c r="J54" s="264"/>
      <c r="K54" s="262"/>
      <c r="L54" s="262"/>
    </row>
    <row r="55" spans="1:12">
      <c r="A55" s="273" t="s">
        <v>1068</v>
      </c>
      <c r="B55" s="274">
        <v>0</v>
      </c>
      <c r="D55" s="262"/>
      <c r="H55" s="264"/>
      <c r="J55" s="264"/>
      <c r="K55" s="262"/>
      <c r="L55" s="262"/>
    </row>
    <row r="56" spans="1:12">
      <c r="A56" s="273" t="s">
        <v>1069</v>
      </c>
      <c r="B56" s="274">
        <v>0</v>
      </c>
      <c r="D56" s="262"/>
      <c r="I56" s="264"/>
      <c r="J56" s="262"/>
      <c r="K56" s="262"/>
      <c r="L56" s="264"/>
    </row>
    <row r="57" spans="1:12">
      <c r="B57" s="264"/>
      <c r="I57" s="264"/>
      <c r="J57" s="262"/>
      <c r="K57" s="262"/>
      <c r="L57" s="264"/>
    </row>
    <row r="58" spans="1:12">
      <c r="B58" s="264"/>
      <c r="H58" s="264"/>
      <c r="I58" s="264"/>
      <c r="J58" s="262"/>
      <c r="K58" s="262"/>
      <c r="L58" s="264"/>
    </row>
    <row r="59" spans="1:12">
      <c r="D59" s="262"/>
      <c r="H59" s="264"/>
      <c r="I59" s="264"/>
      <c r="J59" s="262"/>
      <c r="K59" s="262"/>
      <c r="L59" s="264"/>
    </row>
    <row r="60" spans="1:12">
      <c r="D60" s="262"/>
      <c r="H60" s="264"/>
      <c r="I60" s="264"/>
      <c r="J60" s="262"/>
      <c r="K60" s="262"/>
      <c r="L60" s="264"/>
    </row>
    <row r="61" spans="1:12">
      <c r="D61" s="262"/>
      <c r="H61" s="264"/>
      <c r="I61" s="264"/>
      <c r="J61" s="262"/>
      <c r="K61" s="262"/>
      <c r="L61" s="264"/>
    </row>
    <row r="62" spans="1:12">
      <c r="D62" s="262"/>
      <c r="H62" s="264"/>
      <c r="I62" s="264"/>
      <c r="J62" s="262"/>
      <c r="K62" s="262"/>
      <c r="L62" s="264"/>
    </row>
    <row r="63" spans="1:12">
      <c r="D63" s="262"/>
      <c r="H63" s="264"/>
      <c r="I63" s="264"/>
      <c r="J63" s="262"/>
      <c r="K63" s="262"/>
      <c r="L63" s="264"/>
    </row>
    <row r="64" spans="1:12">
      <c r="D64" s="262"/>
      <c r="H64" s="264"/>
      <c r="I64" s="264"/>
      <c r="J64" s="262"/>
      <c r="K64" s="262"/>
      <c r="L64" s="264"/>
    </row>
    <row r="65" spans="4:12">
      <c r="D65" s="262"/>
      <c r="H65" s="264"/>
      <c r="I65" s="264"/>
      <c r="J65" s="262"/>
      <c r="K65" s="262"/>
      <c r="L65" s="264"/>
    </row>
  </sheetData>
  <mergeCells count="89">
    <mergeCell ref="A54:B54"/>
    <mergeCell ref="A43:G43"/>
    <mergeCell ref="I43:I44"/>
    <mergeCell ref="J43:J44"/>
    <mergeCell ref="K43:K44"/>
    <mergeCell ref="L43:L44"/>
    <mergeCell ref="A44:G45"/>
    <mergeCell ref="I45:I47"/>
    <mergeCell ref="K45:K47"/>
    <mergeCell ref="A46:G46"/>
    <mergeCell ref="A47:G47"/>
    <mergeCell ref="I39:L40"/>
    <mergeCell ref="A41:G42"/>
    <mergeCell ref="I41:I42"/>
    <mergeCell ref="J41:J42"/>
    <mergeCell ref="K41:K42"/>
    <mergeCell ref="L41:L42"/>
    <mergeCell ref="A35:A36"/>
    <mergeCell ref="I36:I38"/>
    <mergeCell ref="J36:J37"/>
    <mergeCell ref="K36:K38"/>
    <mergeCell ref="L36:L37"/>
    <mergeCell ref="A37:A38"/>
    <mergeCell ref="A31:A32"/>
    <mergeCell ref="I32:I33"/>
    <mergeCell ref="J32:J33"/>
    <mergeCell ref="K32:K33"/>
    <mergeCell ref="L32:L33"/>
    <mergeCell ref="A33:A34"/>
    <mergeCell ref="I34:I35"/>
    <mergeCell ref="J34:J35"/>
    <mergeCell ref="K34:K35"/>
    <mergeCell ref="L34:L35"/>
    <mergeCell ref="J26:J27"/>
    <mergeCell ref="L26:L27"/>
    <mergeCell ref="A27:A28"/>
    <mergeCell ref="J28:J29"/>
    <mergeCell ref="L28:L29"/>
    <mergeCell ref="A29:A30"/>
    <mergeCell ref="I30:I31"/>
    <mergeCell ref="J30:J31"/>
    <mergeCell ref="K30:K31"/>
    <mergeCell ref="L30:L31"/>
    <mergeCell ref="L20:L21"/>
    <mergeCell ref="A21:A22"/>
    <mergeCell ref="J22:J23"/>
    <mergeCell ref="L22:L23"/>
    <mergeCell ref="A23:A24"/>
    <mergeCell ref="I24:I29"/>
    <mergeCell ref="J24:J25"/>
    <mergeCell ref="K24:K29"/>
    <mergeCell ref="L24:L25"/>
    <mergeCell ref="A25:A26"/>
    <mergeCell ref="J16:J17"/>
    <mergeCell ref="K16:K17"/>
    <mergeCell ref="L16:L17"/>
    <mergeCell ref="A17:A18"/>
    <mergeCell ref="I18:I23"/>
    <mergeCell ref="J18:J19"/>
    <mergeCell ref="K18:K23"/>
    <mergeCell ref="L18:L19"/>
    <mergeCell ref="A19:A20"/>
    <mergeCell ref="J20:J21"/>
    <mergeCell ref="L10:L11"/>
    <mergeCell ref="A11:A12"/>
    <mergeCell ref="I12:I13"/>
    <mergeCell ref="J12:J13"/>
    <mergeCell ref="K12:K13"/>
    <mergeCell ref="L12:L13"/>
    <mergeCell ref="A13:A14"/>
    <mergeCell ref="I14:L15"/>
    <mergeCell ref="A15:A16"/>
    <mergeCell ref="I16:I17"/>
    <mergeCell ref="A6:G6"/>
    <mergeCell ref="I6:I11"/>
    <mergeCell ref="J6:J7"/>
    <mergeCell ref="K6:K11"/>
    <mergeCell ref="L6:L7"/>
    <mergeCell ref="A7:A8"/>
    <mergeCell ref="J8:J9"/>
    <mergeCell ref="L8:L9"/>
    <mergeCell ref="A9:A10"/>
    <mergeCell ref="J10:J11"/>
    <mergeCell ref="A1:C1"/>
    <mergeCell ref="A2:I2"/>
    <mergeCell ref="A4:A5"/>
    <mergeCell ref="B4:B5"/>
    <mergeCell ref="C4:G4"/>
    <mergeCell ref="I5:L5"/>
  </mergeCells>
  <hyperlinks>
    <hyperlink ref="A1" location="Содержание прайса!A1" display="Вернуться в начало"/>
    <hyperlink ref="A1:B1" location="'Содержание прайса'!A1" display="Вернуться в начало"/>
  </hyperlinks>
  <printOptions horizontalCentered="1"/>
  <pageMargins left="0" right="0" top="0.47244094488188981" bottom="0" header="0" footer="0"/>
  <pageSetup paperSize="9" scale="79" orientation="landscape" r:id="rId1"/>
  <headerFooter scaleWithDoc="0">
    <oddHeader xml:space="preserve">&amp;L&amp;G&amp;R&amp;5Центр поддержки клиентов Grand Line: +7 (495) 748-38-38
cайт: www.grandline.ru   </oddHeader>
    <oddFooter>&amp;R&amp;5Страница 9</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55</vt:i4>
      </vt:variant>
      <vt:variant>
        <vt:lpstr>Именованные диапазоны</vt:lpstr>
      </vt:variant>
      <vt:variant>
        <vt:i4>1704</vt:i4>
      </vt:variant>
    </vt:vector>
  </HeadingPairs>
  <TitlesOfParts>
    <vt:vector size="1759" baseType="lpstr">
      <vt:lpstr>Содержание прайса</vt:lpstr>
      <vt:lpstr>Ликвидация и Акции</vt:lpstr>
      <vt:lpstr>Вся профилировка</vt:lpstr>
      <vt:lpstr>1_1_КРОВЛЯ</vt:lpstr>
      <vt:lpstr>1_2_Доборные элементы кровли</vt:lpstr>
      <vt:lpstr>1_3_ФАЛЬЦ</vt:lpstr>
      <vt:lpstr>1_4_Мягкая кровля</vt:lpstr>
      <vt:lpstr>1_5_Мягкая кровля 2</vt:lpstr>
      <vt:lpstr>1_6_Битумные материалы</vt:lpstr>
      <vt:lpstr>1_7_Композит черепица GL</vt:lpstr>
      <vt:lpstr>1_8_Композит черепица Decra</vt:lpstr>
      <vt:lpstr>1_9_Черепица Luxard</vt:lpstr>
      <vt:lpstr>1_10_Черепица Metrotile</vt:lpstr>
      <vt:lpstr>1_11_ЦПЧ и Керамика</vt:lpstr>
      <vt:lpstr>1_12_Водосток GL</vt:lpstr>
      <vt:lpstr>1_13_Водосток Optima</vt:lpstr>
      <vt:lpstr>1_14_Водосток ПВХ GL Standart</vt:lpstr>
      <vt:lpstr>1_15_ЭБК GL</vt:lpstr>
      <vt:lpstr>1_16_ЭБК Optima</vt:lpstr>
      <vt:lpstr>1_17_Vilpe</vt:lpstr>
      <vt:lpstr>1_18_Krovent и ТехноНиколь</vt:lpstr>
      <vt:lpstr>1_19_Проходки MasterFlash</vt:lpstr>
      <vt:lpstr>1_20_Дымоходы Ferrum</vt:lpstr>
      <vt:lpstr>1_21_Fakro</vt:lpstr>
      <vt:lpstr>1_22_VELUX OPTIMA</vt:lpstr>
      <vt:lpstr>1_23_VELUX PREMIUM</vt:lpstr>
      <vt:lpstr>1_24_Флюгеры</vt:lpstr>
      <vt:lpstr>1_25_Дымники и колпаки на заказ</vt:lpstr>
      <vt:lpstr>2_1_ЦИНК</vt:lpstr>
      <vt:lpstr>3_1_ФАСАД</vt:lpstr>
      <vt:lpstr>3_2_Доборные элементы Фасад</vt:lpstr>
      <vt:lpstr>3_3_Виниловый сайдинг</vt:lpstr>
      <vt:lpstr>3_4_Декор эл-ты Mid-America</vt:lpstr>
      <vt:lpstr>3_5_Фасадные панели GL</vt:lpstr>
      <vt:lpstr>3_6_Фасадные панели</vt:lpstr>
      <vt:lpstr>3_7_Фиброцементный сайдинг</vt:lpstr>
      <vt:lpstr>3_8_ГК-профиль</vt:lpstr>
      <vt:lpstr>3_9_Навесная фасадная система</vt:lpstr>
      <vt:lpstr>4_1_ЗАБОРЫ</vt:lpstr>
      <vt:lpstr>4_2_Панельные ограждения</vt:lpstr>
      <vt:lpstr>4_3_Эл-ты панельных ограждений</vt:lpstr>
      <vt:lpstr>4_4_Модульные ограждения GL</vt:lpstr>
      <vt:lpstr>4_5_Временные огр и Рулон сетка</vt:lpstr>
      <vt:lpstr>4_6_Откатные ворота и Шлагбаумы</vt:lpstr>
      <vt:lpstr>4_7_Распашные ворота и калитки</vt:lpstr>
      <vt:lpstr>4_8_Эл-ты ограждений Locinox</vt:lpstr>
      <vt:lpstr>5_1_Гидро-пароизоляция</vt:lpstr>
      <vt:lpstr>5_2_Комплектующие</vt:lpstr>
      <vt:lpstr>5_3_Утеплители</vt:lpstr>
      <vt:lpstr>5_4_Carbon и Planter</vt:lpstr>
      <vt:lpstr>5_5_Инструменты</vt:lpstr>
      <vt:lpstr>5_6_Инструменты 2</vt:lpstr>
      <vt:lpstr>6_1_Террасная доска и Теплицы</vt:lpstr>
      <vt:lpstr>7_УПАКОВКА</vt:lpstr>
      <vt:lpstr>9_Адреса офисов</vt:lpstr>
      <vt:lpstr>Classic_Atl</vt:lpstr>
      <vt:lpstr>Classic_dachPr</vt:lpstr>
      <vt:lpstr>Classic_dachSk</vt:lpstr>
      <vt:lpstr>Classic_Dr</vt:lpstr>
      <vt:lpstr>Classic_K_Atl</vt:lpstr>
      <vt:lpstr>Classic_K_dachPr</vt:lpstr>
      <vt:lpstr>Classic_K_dachSk</vt:lpstr>
      <vt:lpstr>Classic_K_Dr</vt:lpstr>
      <vt:lpstr>Classic_K_Pdx</vt:lpstr>
      <vt:lpstr>Classic_K_Pdxmatt</vt:lpstr>
      <vt:lpstr>Classic_K_Pe04</vt:lpstr>
      <vt:lpstr>Classic_K_Pe045</vt:lpstr>
      <vt:lpstr>Classic_K_Pe065</vt:lpstr>
      <vt:lpstr>Classic_K_Pe07</vt:lpstr>
      <vt:lpstr>Classic_K_Pe08</vt:lpstr>
      <vt:lpstr>Classic_K_PEdp</vt:lpstr>
      <vt:lpstr>Classic_K_Pt</vt:lpstr>
      <vt:lpstr>Classic_K_Ptdach</vt:lpstr>
      <vt:lpstr>Classic_K_Ptdp</vt:lpstr>
      <vt:lpstr>Classic_K_PtNN</vt:lpstr>
      <vt:lpstr>Classic_K_Pur</vt:lpstr>
      <vt:lpstr>Classic_K_Q</vt:lpstr>
      <vt:lpstr>Classic_K_Ql</vt:lpstr>
      <vt:lpstr>Classic_K_Sat</vt:lpstr>
      <vt:lpstr>Classic_K_Sf</vt:lpstr>
      <vt:lpstr>Classic_K_StBarhat</vt:lpstr>
      <vt:lpstr>Classic_K_Vel</vt:lpstr>
      <vt:lpstr>Classic_Pdx</vt:lpstr>
      <vt:lpstr>Classic_Pdxmatt</vt:lpstr>
      <vt:lpstr>Classic_Pe04</vt:lpstr>
      <vt:lpstr>Classic_Pe045</vt:lpstr>
      <vt:lpstr>Classic_Pe065</vt:lpstr>
      <vt:lpstr>Classic_Pe07</vt:lpstr>
      <vt:lpstr>Classic_Pe08</vt:lpstr>
      <vt:lpstr>Classic_PEdp</vt:lpstr>
      <vt:lpstr>Classic_Pt</vt:lpstr>
      <vt:lpstr>Classic_Ptdach</vt:lpstr>
      <vt:lpstr>Classic_Ptdp</vt:lpstr>
      <vt:lpstr>Classic_PtNN</vt:lpstr>
      <vt:lpstr>Classic_Pur</vt:lpstr>
      <vt:lpstr>Classic_Q</vt:lpstr>
      <vt:lpstr>Classic_Ql</vt:lpstr>
      <vt:lpstr>Classic_Sat</vt:lpstr>
      <vt:lpstr>Classic_Sf</vt:lpstr>
      <vt:lpstr>Classic_StBarhat</vt:lpstr>
      <vt:lpstr>Classic_Vel</vt:lpstr>
      <vt:lpstr>ClassicPl_Atl</vt:lpstr>
      <vt:lpstr>ClassicPl_dachPr</vt:lpstr>
      <vt:lpstr>ClassicPl_dachSk</vt:lpstr>
      <vt:lpstr>ClassicPl_Dr</vt:lpstr>
      <vt:lpstr>ClassicPl_K_Atl</vt:lpstr>
      <vt:lpstr>ClassicPl_K_dachPr</vt:lpstr>
      <vt:lpstr>ClassicPl_K_dachSk</vt:lpstr>
      <vt:lpstr>ClassicPl_K_Dr</vt:lpstr>
      <vt:lpstr>ClassicPl_K_Pdx</vt:lpstr>
      <vt:lpstr>ClassicPl_K_Pdxmatt</vt:lpstr>
      <vt:lpstr>ClassicPl_K_Pe04</vt:lpstr>
      <vt:lpstr>ClassicPl_K_Pe045</vt:lpstr>
      <vt:lpstr>ClassicPl_K_Pe065</vt:lpstr>
      <vt:lpstr>ClassicPl_K_Pe07</vt:lpstr>
      <vt:lpstr>ClassicPl_K_Pe08</vt:lpstr>
      <vt:lpstr>ClassicPl_K_PEdp</vt:lpstr>
      <vt:lpstr>ClassicPl_K_Pt</vt:lpstr>
      <vt:lpstr>ClassicPl_K_Ptdach</vt:lpstr>
      <vt:lpstr>ClassicPl_K_Ptdp</vt:lpstr>
      <vt:lpstr>ClassicPl_K_PtNN</vt:lpstr>
      <vt:lpstr>ClassicPl_K_Pur</vt:lpstr>
      <vt:lpstr>ClassicPl_K_Q</vt:lpstr>
      <vt:lpstr>ClassicPl_K_Ql</vt:lpstr>
      <vt:lpstr>ClassicPl_K_Sat</vt:lpstr>
      <vt:lpstr>ClassicPl_K_Sf</vt:lpstr>
      <vt:lpstr>ClassicPl_K_StBarhat</vt:lpstr>
      <vt:lpstr>ClassicPl_K_Vel</vt:lpstr>
      <vt:lpstr>ClassicPl_Pdx</vt:lpstr>
      <vt:lpstr>ClassicPl_Pdxmatt</vt:lpstr>
      <vt:lpstr>ClassicPl_Pe04</vt:lpstr>
      <vt:lpstr>ClassicPl_Pe045</vt:lpstr>
      <vt:lpstr>ClassicPl_Pe065</vt:lpstr>
      <vt:lpstr>ClassicPl_Pe07</vt:lpstr>
      <vt:lpstr>ClassicPl_Pe08</vt:lpstr>
      <vt:lpstr>ClassicPl_PEdp</vt:lpstr>
      <vt:lpstr>ClassicPl_Pt</vt:lpstr>
      <vt:lpstr>ClassicPl_Ptdach</vt:lpstr>
      <vt:lpstr>ClassicPl_Ptdp</vt:lpstr>
      <vt:lpstr>ClassicPl_PtNN</vt:lpstr>
      <vt:lpstr>ClassicPl_Pur</vt:lpstr>
      <vt:lpstr>ClassicPl_Q</vt:lpstr>
      <vt:lpstr>ClassicPl_Ql</vt:lpstr>
      <vt:lpstr>ClassicPl_Sat</vt:lpstr>
      <vt:lpstr>ClassicPl_Sf</vt:lpstr>
      <vt:lpstr>ClassicPl_StBarhat</vt:lpstr>
      <vt:lpstr>ClassicPl_Vel</vt:lpstr>
      <vt:lpstr>Falz2_Atl</vt:lpstr>
      <vt:lpstr>Falz2_dachPr</vt:lpstr>
      <vt:lpstr>Falz2_dachSk</vt:lpstr>
      <vt:lpstr>Falz2_Dr</vt:lpstr>
      <vt:lpstr>Falz2_K_Atl</vt:lpstr>
      <vt:lpstr>Falz2_K_dachPr</vt:lpstr>
      <vt:lpstr>Falz2_K_dachSk</vt:lpstr>
      <vt:lpstr>Falz2_K_Dr</vt:lpstr>
      <vt:lpstr>Falz2_K_Pdx</vt:lpstr>
      <vt:lpstr>Falz2_K_Pdxmatt</vt:lpstr>
      <vt:lpstr>Falz2_K_Pe04</vt:lpstr>
      <vt:lpstr>Falz2_K_Pe045</vt:lpstr>
      <vt:lpstr>Falz2_K_Pe065</vt:lpstr>
      <vt:lpstr>Falz2_K_Pe07</vt:lpstr>
      <vt:lpstr>Falz2_K_Pe08</vt:lpstr>
      <vt:lpstr>Falz2_K_PEdp</vt:lpstr>
      <vt:lpstr>Falz2_K_Pt</vt:lpstr>
      <vt:lpstr>Falz2_K_Ptdach</vt:lpstr>
      <vt:lpstr>Falz2_K_Ptdp</vt:lpstr>
      <vt:lpstr>Falz2_K_PtNN</vt:lpstr>
      <vt:lpstr>Falz2_K_Pur</vt:lpstr>
      <vt:lpstr>Falz2_K_Q</vt:lpstr>
      <vt:lpstr>Falz2_K_Ql</vt:lpstr>
      <vt:lpstr>Falz2_K_Sat</vt:lpstr>
      <vt:lpstr>Falz2_K_Sf</vt:lpstr>
      <vt:lpstr>Falz2_K_StBarhat</vt:lpstr>
      <vt:lpstr>Falz2_K_Vel</vt:lpstr>
      <vt:lpstr>Falz2_K_Zn035</vt:lpstr>
      <vt:lpstr>Falz2_K_Zn04</vt:lpstr>
      <vt:lpstr>Falz2_K_Zn045</vt:lpstr>
      <vt:lpstr>Falz2_K_Zn05</vt:lpstr>
      <vt:lpstr>Falz2_K_Zn055</vt:lpstr>
      <vt:lpstr>Falz2_K_Zn07</vt:lpstr>
      <vt:lpstr>Falz2_K_Zn08</vt:lpstr>
      <vt:lpstr>Falz2_K_Zn09</vt:lpstr>
      <vt:lpstr>Falz2_Pdx</vt:lpstr>
      <vt:lpstr>Falz2_Pdxmatt</vt:lpstr>
      <vt:lpstr>Falz2_Pe04</vt:lpstr>
      <vt:lpstr>Falz2_Pe045</vt:lpstr>
      <vt:lpstr>Falz2_Pe065</vt:lpstr>
      <vt:lpstr>Falz2_Pe07</vt:lpstr>
      <vt:lpstr>Falz2_Pe08</vt:lpstr>
      <vt:lpstr>Falz2_PEdp</vt:lpstr>
      <vt:lpstr>Falz2_Pt</vt:lpstr>
      <vt:lpstr>Falz2_Ptdach</vt:lpstr>
      <vt:lpstr>Falz2_Ptdp</vt:lpstr>
      <vt:lpstr>Falz2_PtNN</vt:lpstr>
      <vt:lpstr>Falz2_Pur</vt:lpstr>
      <vt:lpstr>Falz2_Q</vt:lpstr>
      <vt:lpstr>Falz2_Ql</vt:lpstr>
      <vt:lpstr>Falz2_Sat</vt:lpstr>
      <vt:lpstr>Falz2_Sf</vt:lpstr>
      <vt:lpstr>Falz2_StBarhat</vt:lpstr>
      <vt:lpstr>Falz2_Vel</vt:lpstr>
      <vt:lpstr>Falz2_Zn035</vt:lpstr>
      <vt:lpstr>Falz2_Zn04</vt:lpstr>
      <vt:lpstr>Falz2_Zn045</vt:lpstr>
      <vt:lpstr>Falz2_Zn05</vt:lpstr>
      <vt:lpstr>Falz2_Zn055</vt:lpstr>
      <vt:lpstr>Falz2_Zn07</vt:lpstr>
      <vt:lpstr>Falz2_Zn08</vt:lpstr>
      <vt:lpstr>Falz2_Zn09</vt:lpstr>
      <vt:lpstr>Kamea_Atl</vt:lpstr>
      <vt:lpstr>Kamea_dachPr</vt:lpstr>
      <vt:lpstr>Kamea_dachSk</vt:lpstr>
      <vt:lpstr>Kamea_Dr</vt:lpstr>
      <vt:lpstr>Kamea_K_Atl</vt:lpstr>
      <vt:lpstr>Kamea_K_dachPr</vt:lpstr>
      <vt:lpstr>Kamea_K_dachSk</vt:lpstr>
      <vt:lpstr>Kamea_K_Dr</vt:lpstr>
      <vt:lpstr>Kamea_K_Pdx</vt:lpstr>
      <vt:lpstr>Kamea_K_Pdxmatt</vt:lpstr>
      <vt:lpstr>Kamea_K_Pe04</vt:lpstr>
      <vt:lpstr>Kamea_K_Pe045</vt:lpstr>
      <vt:lpstr>Kamea_K_Pe065</vt:lpstr>
      <vt:lpstr>Kamea_K_Pe07</vt:lpstr>
      <vt:lpstr>Kamea_K_Pe08</vt:lpstr>
      <vt:lpstr>Kamea_K_PEdp</vt:lpstr>
      <vt:lpstr>Kamea_K_Pt</vt:lpstr>
      <vt:lpstr>Kamea_K_Ptdach</vt:lpstr>
      <vt:lpstr>Kamea_K_Ptdp</vt:lpstr>
      <vt:lpstr>Kamea_K_PtNN</vt:lpstr>
      <vt:lpstr>Kamea_K_Pur</vt:lpstr>
      <vt:lpstr>Kamea_K_Q</vt:lpstr>
      <vt:lpstr>Kamea_K_Ql</vt:lpstr>
      <vt:lpstr>Kamea_K_Sat</vt:lpstr>
      <vt:lpstr>Kamea_K_Sf</vt:lpstr>
      <vt:lpstr>Kamea_K_StBarhat</vt:lpstr>
      <vt:lpstr>Kamea_K_Vel</vt:lpstr>
      <vt:lpstr>Kamea_Pdx</vt:lpstr>
      <vt:lpstr>Kamea_Pdxmatt</vt:lpstr>
      <vt:lpstr>Kamea_Pe04</vt:lpstr>
      <vt:lpstr>Kamea_Pe045</vt:lpstr>
      <vt:lpstr>Kamea_Pe065</vt:lpstr>
      <vt:lpstr>Kamea_Pe07</vt:lpstr>
      <vt:lpstr>Kamea_Pe08</vt:lpstr>
      <vt:lpstr>Kamea_PEdp</vt:lpstr>
      <vt:lpstr>Kamea_Pt</vt:lpstr>
      <vt:lpstr>Kamea_Ptdach</vt:lpstr>
      <vt:lpstr>Kamea_Ptdp</vt:lpstr>
      <vt:lpstr>Kamea_PtNN</vt:lpstr>
      <vt:lpstr>Kamea_Pur</vt:lpstr>
      <vt:lpstr>Kamea_Q</vt:lpstr>
      <vt:lpstr>Kamea_Ql</vt:lpstr>
      <vt:lpstr>Kamea_Sat</vt:lpstr>
      <vt:lpstr>Kamea_Sf</vt:lpstr>
      <vt:lpstr>Kamea_StBarhat</vt:lpstr>
      <vt:lpstr>Kamea_Vel</vt:lpstr>
      <vt:lpstr>Klik_Atl</vt:lpstr>
      <vt:lpstr>Klik_dachPr</vt:lpstr>
      <vt:lpstr>Klik_dachSk</vt:lpstr>
      <vt:lpstr>Klik_Dr</vt:lpstr>
      <vt:lpstr>Klik_K_Atl</vt:lpstr>
      <vt:lpstr>Klik_K_dachPr</vt:lpstr>
      <vt:lpstr>Klik_K_dachSk</vt:lpstr>
      <vt:lpstr>Klik_K_Dr</vt:lpstr>
      <vt:lpstr>Klik_K_Pdx</vt:lpstr>
      <vt:lpstr>Klik_K_Pdxmatt</vt:lpstr>
      <vt:lpstr>Klik_K_Pe04</vt:lpstr>
      <vt:lpstr>Klik_K_Pe045</vt:lpstr>
      <vt:lpstr>Klik_K_Pe065</vt:lpstr>
      <vt:lpstr>Klik_K_Pe07</vt:lpstr>
      <vt:lpstr>Klik_K_Pe08</vt:lpstr>
      <vt:lpstr>Klik_K_PEdp</vt:lpstr>
      <vt:lpstr>Klik_K_Pt</vt:lpstr>
      <vt:lpstr>Klik_K_Ptdach</vt:lpstr>
      <vt:lpstr>Klik_K_Ptdp</vt:lpstr>
      <vt:lpstr>Klik_K_PtNN</vt:lpstr>
      <vt:lpstr>Klik_K_Pur</vt:lpstr>
      <vt:lpstr>Klik_K_Q</vt:lpstr>
      <vt:lpstr>Klik_K_Ql</vt:lpstr>
      <vt:lpstr>Klik_K_Sat</vt:lpstr>
      <vt:lpstr>Klik_K_Sf</vt:lpstr>
      <vt:lpstr>Klik_K_StBarhat</vt:lpstr>
      <vt:lpstr>Klik_K_Vel</vt:lpstr>
      <vt:lpstr>Klik_K_Zn035</vt:lpstr>
      <vt:lpstr>Klik_K_Zn04</vt:lpstr>
      <vt:lpstr>Klik_K_Zn045</vt:lpstr>
      <vt:lpstr>Klik_K_Zn05</vt:lpstr>
      <vt:lpstr>Klik_K_Zn055</vt:lpstr>
      <vt:lpstr>Klik_K_Zn07</vt:lpstr>
      <vt:lpstr>Klik_K_Zn08</vt:lpstr>
      <vt:lpstr>Klik_K_Zn09</vt:lpstr>
      <vt:lpstr>Klik_mini_Atl</vt:lpstr>
      <vt:lpstr>Klik_mini_dachPr</vt:lpstr>
      <vt:lpstr>Klik_mini_dachSk</vt:lpstr>
      <vt:lpstr>Klik_mini_Dr</vt:lpstr>
      <vt:lpstr>Klik_mini_K_Atl</vt:lpstr>
      <vt:lpstr>Klik_mini_K_dachPr</vt:lpstr>
      <vt:lpstr>Klik_mini_K_dachSk</vt:lpstr>
      <vt:lpstr>Klik_mini_K_Dr</vt:lpstr>
      <vt:lpstr>Klik_mini_K_Pdx</vt:lpstr>
      <vt:lpstr>Klik_mini_K_Pdxmatt</vt:lpstr>
      <vt:lpstr>Klik_mini_K_Pe04</vt:lpstr>
      <vt:lpstr>Klik_mini_K_Pe045</vt:lpstr>
      <vt:lpstr>Klik_mini_K_Pe065</vt:lpstr>
      <vt:lpstr>Klik_mini_K_Pe07</vt:lpstr>
      <vt:lpstr>Klik_mini_K_Pe08</vt:lpstr>
      <vt:lpstr>Klik_mini_K_PEdp</vt:lpstr>
      <vt:lpstr>Klik_mini_K_Pt</vt:lpstr>
      <vt:lpstr>Klik_mini_K_Ptdach</vt:lpstr>
      <vt:lpstr>Klik_mini_K_Ptdp</vt:lpstr>
      <vt:lpstr>Klik_mini_K_PtNN</vt:lpstr>
      <vt:lpstr>Klik_mini_K_Pur</vt:lpstr>
      <vt:lpstr>Klik_mini_K_Q</vt:lpstr>
      <vt:lpstr>Klik_mini_K_Ql</vt:lpstr>
      <vt:lpstr>Klik_mini_K_Sat</vt:lpstr>
      <vt:lpstr>Klik_mini_K_Sf</vt:lpstr>
      <vt:lpstr>Klik_mini_K_StBarhat</vt:lpstr>
      <vt:lpstr>Klik_mini_K_Vel</vt:lpstr>
      <vt:lpstr>Klik_mini_K_Zn035</vt:lpstr>
      <vt:lpstr>Klik_mini_K_Zn04</vt:lpstr>
      <vt:lpstr>Klik_mini_K_Zn045</vt:lpstr>
      <vt:lpstr>Klik_mini_K_Zn05</vt:lpstr>
      <vt:lpstr>Klik_mini_K_Zn055</vt:lpstr>
      <vt:lpstr>Klik_mini_K_Zn07</vt:lpstr>
      <vt:lpstr>Klik_mini_K_Zn08</vt:lpstr>
      <vt:lpstr>Klik_mini_K_Zn09</vt:lpstr>
      <vt:lpstr>Klik_mini_Pdx</vt:lpstr>
      <vt:lpstr>Klik_mini_Pdxmatt</vt:lpstr>
      <vt:lpstr>Klik_mini_Pe04</vt:lpstr>
      <vt:lpstr>Klik_mini_Pe045</vt:lpstr>
      <vt:lpstr>Klik_mini_Pe065</vt:lpstr>
      <vt:lpstr>Klik_mini_Pe07</vt:lpstr>
      <vt:lpstr>Klik_mini_Pe08</vt:lpstr>
      <vt:lpstr>Klik_mini_PEdp</vt:lpstr>
      <vt:lpstr>Klik_mini_Pt</vt:lpstr>
      <vt:lpstr>Klik_mini_Ptdach</vt:lpstr>
      <vt:lpstr>Klik_mini_Ptdp</vt:lpstr>
      <vt:lpstr>Klik_mini_PtNN</vt:lpstr>
      <vt:lpstr>Klik_mini_Pur</vt:lpstr>
      <vt:lpstr>Klik_mini_Q</vt:lpstr>
      <vt:lpstr>Klik_mini_Ql</vt:lpstr>
      <vt:lpstr>Klik_mini_Sat</vt:lpstr>
      <vt:lpstr>Klik_mini_Sf</vt:lpstr>
      <vt:lpstr>Klik_mini_StBarhat</vt:lpstr>
      <vt:lpstr>Klik_mini_Vel</vt:lpstr>
      <vt:lpstr>Klik_mini_Zn035</vt:lpstr>
      <vt:lpstr>Klik_mini_Zn04</vt:lpstr>
      <vt:lpstr>Klik_mini_Zn045</vt:lpstr>
      <vt:lpstr>Klik_mini_Zn05</vt:lpstr>
      <vt:lpstr>Klik_mini_Zn055</vt:lpstr>
      <vt:lpstr>Klik_mini_Zn07</vt:lpstr>
      <vt:lpstr>Klik_mini_Zn08</vt:lpstr>
      <vt:lpstr>Klik_mini_Zn09</vt:lpstr>
      <vt:lpstr>Klik_Pdx</vt:lpstr>
      <vt:lpstr>Klik_Pdxmatt</vt:lpstr>
      <vt:lpstr>Klik_Pe04</vt:lpstr>
      <vt:lpstr>Klik_Pe045</vt:lpstr>
      <vt:lpstr>Klik_Pe065</vt:lpstr>
      <vt:lpstr>Klik_Pe07</vt:lpstr>
      <vt:lpstr>Klik_Pe08</vt:lpstr>
      <vt:lpstr>Klik_PEdp</vt:lpstr>
      <vt:lpstr>Klik_Pt</vt:lpstr>
      <vt:lpstr>Klik_Ptdach</vt:lpstr>
      <vt:lpstr>Klik_Ptdp</vt:lpstr>
      <vt:lpstr>Klik_PtNN</vt:lpstr>
      <vt:lpstr>Klik_Pur</vt:lpstr>
      <vt:lpstr>Klik_Q</vt:lpstr>
      <vt:lpstr>Klik_Ql</vt:lpstr>
      <vt:lpstr>Klik_Sat</vt:lpstr>
      <vt:lpstr>Klik_Sf</vt:lpstr>
      <vt:lpstr>Klik_StBarhat</vt:lpstr>
      <vt:lpstr>Klik_Vel</vt:lpstr>
      <vt:lpstr>Klik_Zn035</vt:lpstr>
      <vt:lpstr>Klik_Zn04</vt:lpstr>
      <vt:lpstr>Klik_Zn045</vt:lpstr>
      <vt:lpstr>Klik_Zn05</vt:lpstr>
      <vt:lpstr>Klik_Zn055</vt:lpstr>
      <vt:lpstr>Klik_Zn07</vt:lpstr>
      <vt:lpstr>Klik_Zn08</vt:lpstr>
      <vt:lpstr>Klik_Zn09</vt:lpstr>
      <vt:lpstr>Kredo_Atl</vt:lpstr>
      <vt:lpstr>Kredo_dachPr</vt:lpstr>
      <vt:lpstr>Kredo_dachSk</vt:lpstr>
      <vt:lpstr>Kredo_Dr</vt:lpstr>
      <vt:lpstr>Kredo_K_Atl</vt:lpstr>
      <vt:lpstr>Kredo_K_dachPr</vt:lpstr>
      <vt:lpstr>Kredo_K_dachSk</vt:lpstr>
      <vt:lpstr>Kredo_K_Dr</vt:lpstr>
      <vt:lpstr>Kredo_K_Pdx</vt:lpstr>
      <vt:lpstr>Kredo_K_Pdxmatt</vt:lpstr>
      <vt:lpstr>Kredo_K_Pe04</vt:lpstr>
      <vt:lpstr>Kredo_K_Pe045</vt:lpstr>
      <vt:lpstr>Kredo_K_Pe065</vt:lpstr>
      <vt:lpstr>Kredo_K_Pe07</vt:lpstr>
      <vt:lpstr>Kredo_K_Pe08</vt:lpstr>
      <vt:lpstr>Kredo_K_PEdp</vt:lpstr>
      <vt:lpstr>Kredo_K_Pt</vt:lpstr>
      <vt:lpstr>Kredo_K_Ptdach</vt:lpstr>
      <vt:lpstr>Kredo_K_Ptdp</vt:lpstr>
      <vt:lpstr>Kredo_K_PtNN</vt:lpstr>
      <vt:lpstr>Kredo_K_Pur</vt:lpstr>
      <vt:lpstr>Kredo_K_Q</vt:lpstr>
      <vt:lpstr>Kredo_K_Ql</vt:lpstr>
      <vt:lpstr>Kredo_K_Sat</vt:lpstr>
      <vt:lpstr>Kredo_K_Sf</vt:lpstr>
      <vt:lpstr>Kredo_K_StBarhat</vt:lpstr>
      <vt:lpstr>Kredo_K_Vel</vt:lpstr>
      <vt:lpstr>Kredo_Pdx</vt:lpstr>
      <vt:lpstr>Kredo_Pdxmatt</vt:lpstr>
      <vt:lpstr>Kredo_Pe04</vt:lpstr>
      <vt:lpstr>Kredo_Pe045</vt:lpstr>
      <vt:lpstr>Kredo_Pe065</vt:lpstr>
      <vt:lpstr>Kredo_Pe07</vt:lpstr>
      <vt:lpstr>Kredo_Pe08</vt:lpstr>
      <vt:lpstr>Kredo_PEdp</vt:lpstr>
      <vt:lpstr>Kredo_Pt</vt:lpstr>
      <vt:lpstr>Kredo_Ptdach</vt:lpstr>
      <vt:lpstr>Kredo_Ptdp</vt:lpstr>
      <vt:lpstr>Kredo_PtNN</vt:lpstr>
      <vt:lpstr>Kredo_Pur</vt:lpstr>
      <vt:lpstr>Kredo_Q</vt:lpstr>
      <vt:lpstr>Kredo_Ql</vt:lpstr>
      <vt:lpstr>Kredo_Sat</vt:lpstr>
      <vt:lpstr>Kredo_Sf</vt:lpstr>
      <vt:lpstr>Kredo_StBarhat</vt:lpstr>
      <vt:lpstr>Kredo_Vel</vt:lpstr>
      <vt:lpstr>KvintaPl_Atl</vt:lpstr>
      <vt:lpstr>KvintaPl_dachPr</vt:lpstr>
      <vt:lpstr>KvintaPl_dachSk</vt:lpstr>
      <vt:lpstr>KvintaPl_Dr</vt:lpstr>
      <vt:lpstr>KvintaPl_K_Atl</vt:lpstr>
      <vt:lpstr>KvintaPl_K_dachPr</vt:lpstr>
      <vt:lpstr>KvintaPl_K_dachSk</vt:lpstr>
      <vt:lpstr>KvintaPl_K_Dr</vt:lpstr>
      <vt:lpstr>KvintaPl_K_Pdx</vt:lpstr>
      <vt:lpstr>KvintaPl_K_Pdxmatt</vt:lpstr>
      <vt:lpstr>KvintaPl_K_Pe04</vt:lpstr>
      <vt:lpstr>KvintaPl_K_Pe045</vt:lpstr>
      <vt:lpstr>KvintaPl_K_Pe065</vt:lpstr>
      <vt:lpstr>KvintaPl_K_Pe07</vt:lpstr>
      <vt:lpstr>KvintaPl_K_Pe08</vt:lpstr>
      <vt:lpstr>KvintaPl_K_PEdp</vt:lpstr>
      <vt:lpstr>KvintaPl_K_Pt</vt:lpstr>
      <vt:lpstr>KvintaPl_K_Ptdach</vt:lpstr>
      <vt:lpstr>KvintaPl_K_Ptdp</vt:lpstr>
      <vt:lpstr>KvintaPl_K_PtNN</vt:lpstr>
      <vt:lpstr>KvintaPl_K_Pur</vt:lpstr>
      <vt:lpstr>KvintaPl_K_Q</vt:lpstr>
      <vt:lpstr>KvintaPl_K_Ql</vt:lpstr>
      <vt:lpstr>KvintaPl_K_Sat</vt:lpstr>
      <vt:lpstr>KvintaPl_K_Sf</vt:lpstr>
      <vt:lpstr>KvintaPl_K_StBarhat</vt:lpstr>
      <vt:lpstr>KvintaPl_K_Vel</vt:lpstr>
      <vt:lpstr>KvintaPl_Pdx</vt:lpstr>
      <vt:lpstr>KvintaPl_Pdxmatt</vt:lpstr>
      <vt:lpstr>KvintaPl_Pe04</vt:lpstr>
      <vt:lpstr>KvintaPl_Pe045</vt:lpstr>
      <vt:lpstr>KvintaPl_Pe065</vt:lpstr>
      <vt:lpstr>KvintaPl_Pe07</vt:lpstr>
      <vt:lpstr>KvintaPl_Pe08</vt:lpstr>
      <vt:lpstr>KvintaPl_PEdp</vt:lpstr>
      <vt:lpstr>KvintaPl_Pt</vt:lpstr>
      <vt:lpstr>KvintaPl_Ptdach</vt:lpstr>
      <vt:lpstr>KvintaPl_Ptdp</vt:lpstr>
      <vt:lpstr>KvintaPl_PtNN</vt:lpstr>
      <vt:lpstr>KvintaPl_Pur</vt:lpstr>
      <vt:lpstr>KvintaPl_Q</vt:lpstr>
      <vt:lpstr>KvintaPl_Ql</vt:lpstr>
      <vt:lpstr>KvintaPl_Sat</vt:lpstr>
      <vt:lpstr>KvintaPl_Sf</vt:lpstr>
      <vt:lpstr>KvintaPl_StBarhat</vt:lpstr>
      <vt:lpstr>KvintaPl_Vel</vt:lpstr>
      <vt:lpstr>KvintaUno_Atl</vt:lpstr>
      <vt:lpstr>KvintaUno_Dr</vt:lpstr>
      <vt:lpstr>KvintaUno_Pdx</vt:lpstr>
      <vt:lpstr>KvintaUno_Pdxmatt</vt:lpstr>
      <vt:lpstr>KvintaUno_Pe045</vt:lpstr>
      <vt:lpstr>KvintaUno_Pt</vt:lpstr>
      <vt:lpstr>KvintaUno_Ptdp</vt:lpstr>
      <vt:lpstr>KvintaUno_Pur</vt:lpstr>
      <vt:lpstr>KvintaUno_Q</vt:lpstr>
      <vt:lpstr>KvintaUno_Ql</vt:lpstr>
      <vt:lpstr>KvintaUno_Sat</vt:lpstr>
      <vt:lpstr>KvintaUno_Sf</vt:lpstr>
      <vt:lpstr>KvintaUno_StBarhat</vt:lpstr>
      <vt:lpstr>KvintaUno_Vel</vt:lpstr>
      <vt:lpstr>List_Atl</vt:lpstr>
      <vt:lpstr>List_dachPr</vt:lpstr>
      <vt:lpstr>List_dachSk</vt:lpstr>
      <vt:lpstr>List_Dr</vt:lpstr>
      <vt:lpstr>List_K_Atl</vt:lpstr>
      <vt:lpstr>List_K_dachPr</vt:lpstr>
      <vt:lpstr>List_K_dachSk</vt:lpstr>
      <vt:lpstr>List_K_Dr</vt:lpstr>
      <vt:lpstr>List_K_Pdx</vt:lpstr>
      <vt:lpstr>List_K_Pdxmatt</vt:lpstr>
      <vt:lpstr>List_K_Pe04</vt:lpstr>
      <vt:lpstr>List_K_Pe045</vt:lpstr>
      <vt:lpstr>List_K_Pe065</vt:lpstr>
      <vt:lpstr>List_K_Pe07</vt:lpstr>
      <vt:lpstr>List_K_Pe08</vt:lpstr>
      <vt:lpstr>List_K_PEdp</vt:lpstr>
      <vt:lpstr>List_K_Pt</vt:lpstr>
      <vt:lpstr>List_K_Ptdach</vt:lpstr>
      <vt:lpstr>List_K_Ptdp</vt:lpstr>
      <vt:lpstr>List_K_PtNN</vt:lpstr>
      <vt:lpstr>List_K_Pur</vt:lpstr>
      <vt:lpstr>List_K_Q</vt:lpstr>
      <vt:lpstr>List_K_Ql</vt:lpstr>
      <vt:lpstr>List_K_Sat</vt:lpstr>
      <vt:lpstr>List_K_Sf</vt:lpstr>
      <vt:lpstr>List_K_StBarhat</vt:lpstr>
      <vt:lpstr>List_K_Vel</vt:lpstr>
      <vt:lpstr>List_K_Zn035</vt:lpstr>
      <vt:lpstr>List_K_Zn04</vt:lpstr>
      <vt:lpstr>List_K_Zn045</vt:lpstr>
      <vt:lpstr>List_K_Zn05</vt:lpstr>
      <vt:lpstr>List_K_Zn055</vt:lpstr>
      <vt:lpstr>List_K_Zn07</vt:lpstr>
      <vt:lpstr>List_K_Zn08</vt:lpstr>
      <vt:lpstr>List_K_Zn09</vt:lpstr>
      <vt:lpstr>List_Pdx</vt:lpstr>
      <vt:lpstr>List_Pdxmatt</vt:lpstr>
      <vt:lpstr>List_Pe04</vt:lpstr>
      <vt:lpstr>List_Pe045</vt:lpstr>
      <vt:lpstr>List_Pe065</vt:lpstr>
      <vt:lpstr>List_Pe07</vt:lpstr>
      <vt:lpstr>List_Pe08</vt:lpstr>
      <vt:lpstr>List_PEdp</vt:lpstr>
      <vt:lpstr>List_Pt</vt:lpstr>
      <vt:lpstr>List_Ptdach</vt:lpstr>
      <vt:lpstr>List_Ptdp</vt:lpstr>
      <vt:lpstr>List_PtNN</vt:lpstr>
      <vt:lpstr>List_Pur</vt:lpstr>
      <vt:lpstr>List_Q</vt:lpstr>
      <vt:lpstr>List_Ql</vt:lpstr>
      <vt:lpstr>List_Sat</vt:lpstr>
      <vt:lpstr>List_Sf</vt:lpstr>
      <vt:lpstr>List_StBarhat</vt:lpstr>
      <vt:lpstr>List_Vel</vt:lpstr>
      <vt:lpstr>List_Zn035</vt:lpstr>
      <vt:lpstr>List_Zn04</vt:lpstr>
      <vt:lpstr>List_Zn045</vt:lpstr>
      <vt:lpstr>List_Zn05</vt:lpstr>
      <vt:lpstr>List_Zn055</vt:lpstr>
      <vt:lpstr>List_Zn07</vt:lpstr>
      <vt:lpstr>List_Zn08</vt:lpstr>
      <vt:lpstr>List_Zn09</vt:lpstr>
      <vt:lpstr>Modern_Atl</vt:lpstr>
      <vt:lpstr>Modern_dachPr</vt:lpstr>
      <vt:lpstr>Modern_dachSk</vt:lpstr>
      <vt:lpstr>Modern_Dr</vt:lpstr>
      <vt:lpstr>Modern_K_Atl</vt:lpstr>
      <vt:lpstr>Modern_K_dachPr</vt:lpstr>
      <vt:lpstr>Modern_K_dachSk</vt:lpstr>
      <vt:lpstr>Modern_K_Dr</vt:lpstr>
      <vt:lpstr>Modern_K_Pdx</vt:lpstr>
      <vt:lpstr>Modern_K_Pdxmatt</vt:lpstr>
      <vt:lpstr>Modern_K_Pe04</vt:lpstr>
      <vt:lpstr>Modern_K_Pe045</vt:lpstr>
      <vt:lpstr>Modern_K_Pe065</vt:lpstr>
      <vt:lpstr>Modern_K_Pe07</vt:lpstr>
      <vt:lpstr>Modern_K_Pe08</vt:lpstr>
      <vt:lpstr>Modern_K_PEdp</vt:lpstr>
      <vt:lpstr>Modern_K_Pt</vt:lpstr>
      <vt:lpstr>Modern_K_Ptdach</vt:lpstr>
      <vt:lpstr>Modern_K_Ptdp</vt:lpstr>
      <vt:lpstr>Modern_K_PtNN</vt:lpstr>
      <vt:lpstr>Modern_K_Pur</vt:lpstr>
      <vt:lpstr>Modern_K_Q</vt:lpstr>
      <vt:lpstr>Modern_K_Ql</vt:lpstr>
      <vt:lpstr>Modern_K_Sat</vt:lpstr>
      <vt:lpstr>Modern_K_Sf</vt:lpstr>
      <vt:lpstr>Modern_K_StBarhat</vt:lpstr>
      <vt:lpstr>Modern_K_Vel</vt:lpstr>
      <vt:lpstr>Modern_Pdx</vt:lpstr>
      <vt:lpstr>Modern_Pdxmatt</vt:lpstr>
      <vt:lpstr>Modern_Pe04</vt:lpstr>
      <vt:lpstr>Modern_Pe045</vt:lpstr>
      <vt:lpstr>Modern_Pe065</vt:lpstr>
      <vt:lpstr>Modern_Pe07</vt:lpstr>
      <vt:lpstr>Modern_Pe08</vt:lpstr>
      <vt:lpstr>Modern_PEdp</vt:lpstr>
      <vt:lpstr>Modern_Pt</vt:lpstr>
      <vt:lpstr>Modern_Ptdach</vt:lpstr>
      <vt:lpstr>Modern_Ptdp</vt:lpstr>
      <vt:lpstr>Modern_PtNN</vt:lpstr>
      <vt:lpstr>Modern_Pur</vt:lpstr>
      <vt:lpstr>Modern_Q</vt:lpstr>
      <vt:lpstr>Modern_Ql</vt:lpstr>
      <vt:lpstr>Modern_Sat</vt:lpstr>
      <vt:lpstr>Modern_Sf</vt:lpstr>
      <vt:lpstr>Modern_StBarhat</vt:lpstr>
      <vt:lpstr>Modern_Vel</vt:lpstr>
      <vt:lpstr>PnC10_Atl</vt:lpstr>
      <vt:lpstr>PnC10_dachPr</vt:lpstr>
      <vt:lpstr>PnC10_dachSk</vt:lpstr>
      <vt:lpstr>PnC10_Dr</vt:lpstr>
      <vt:lpstr>PnC10_K_Atl</vt:lpstr>
      <vt:lpstr>PnC10_K_dachPr</vt:lpstr>
      <vt:lpstr>PnC10_K_dachSk</vt:lpstr>
      <vt:lpstr>PnC10_K_Dr</vt:lpstr>
      <vt:lpstr>PnC10_K_Pdx</vt:lpstr>
      <vt:lpstr>PnC10_K_Pdxmatt</vt:lpstr>
      <vt:lpstr>PnC10_K_Pe04</vt:lpstr>
      <vt:lpstr>PnC10_K_Pe045</vt:lpstr>
      <vt:lpstr>PnC10_K_Pe065</vt:lpstr>
      <vt:lpstr>PnC10_K_Pe07</vt:lpstr>
      <vt:lpstr>PnC10_K_Pe08</vt:lpstr>
      <vt:lpstr>PnC10_K_PEdp</vt:lpstr>
      <vt:lpstr>PnC10_K_Pt</vt:lpstr>
      <vt:lpstr>PnC10_K_Ptdach</vt:lpstr>
      <vt:lpstr>PnC10_K_Ptdp</vt:lpstr>
      <vt:lpstr>PnC10_K_PtNN</vt:lpstr>
      <vt:lpstr>PnC10_K_Pur</vt:lpstr>
      <vt:lpstr>PnC10_K_Q</vt:lpstr>
      <vt:lpstr>PnC10_K_Ql</vt:lpstr>
      <vt:lpstr>PnC10_K_Sat</vt:lpstr>
      <vt:lpstr>PnC10_K_Sf</vt:lpstr>
      <vt:lpstr>PnC10_K_StBarhat</vt:lpstr>
      <vt:lpstr>PnC10_K_Vel</vt:lpstr>
      <vt:lpstr>PnC10_K_Zn035</vt:lpstr>
      <vt:lpstr>PnC10_K_Zn04</vt:lpstr>
      <vt:lpstr>PnC10_K_Zn045</vt:lpstr>
      <vt:lpstr>PnC10_K_Zn05</vt:lpstr>
      <vt:lpstr>PnC10_K_Zn055</vt:lpstr>
      <vt:lpstr>PnC10_K_Zn07</vt:lpstr>
      <vt:lpstr>PnC10_K_Zn08</vt:lpstr>
      <vt:lpstr>PnC10_K_Zn09</vt:lpstr>
      <vt:lpstr>PnC10_Pdx</vt:lpstr>
      <vt:lpstr>PnC10_Pdxmatt</vt:lpstr>
      <vt:lpstr>PnC10_Pe04</vt:lpstr>
      <vt:lpstr>PnC10_Pe045</vt:lpstr>
      <vt:lpstr>PnC10_Pe065</vt:lpstr>
      <vt:lpstr>PnC10_Pe07</vt:lpstr>
      <vt:lpstr>PnC10_Pe08</vt:lpstr>
      <vt:lpstr>PnC10_PEdp</vt:lpstr>
      <vt:lpstr>PnC10_Pt</vt:lpstr>
      <vt:lpstr>PnC10_Ptdach</vt:lpstr>
      <vt:lpstr>PnC10_Ptdp</vt:lpstr>
      <vt:lpstr>PnC10_PtNN</vt:lpstr>
      <vt:lpstr>PnC10_Pur</vt:lpstr>
      <vt:lpstr>PnC10_Q</vt:lpstr>
      <vt:lpstr>PnC10_Ql</vt:lpstr>
      <vt:lpstr>PnC10_Sat</vt:lpstr>
      <vt:lpstr>PnC10_Sf</vt:lpstr>
      <vt:lpstr>PnC10_StBarhat</vt:lpstr>
      <vt:lpstr>PnC10_Vel</vt:lpstr>
      <vt:lpstr>PnC10_Zn035</vt:lpstr>
      <vt:lpstr>PnC10_Zn04</vt:lpstr>
      <vt:lpstr>PnC10_Zn045</vt:lpstr>
      <vt:lpstr>PnC10_Zn05</vt:lpstr>
      <vt:lpstr>PnC10_Zn055</vt:lpstr>
      <vt:lpstr>PnC10_Zn07</vt:lpstr>
      <vt:lpstr>PnC10_Zn08</vt:lpstr>
      <vt:lpstr>PnC10_Zn09</vt:lpstr>
      <vt:lpstr>PnC10f_Atl</vt:lpstr>
      <vt:lpstr>PnC10f_dachPr</vt:lpstr>
      <vt:lpstr>PnC10f_dachSk</vt:lpstr>
      <vt:lpstr>PnC10f_Dr</vt:lpstr>
      <vt:lpstr>PnC10f_K_Atl</vt:lpstr>
      <vt:lpstr>PnC10f_K_dachPr</vt:lpstr>
      <vt:lpstr>PnC10f_K_dachSk</vt:lpstr>
      <vt:lpstr>PnC10f_K_Dr</vt:lpstr>
      <vt:lpstr>PnC10f_K_Pdx</vt:lpstr>
      <vt:lpstr>PnC10f_K_Pdxmatt</vt:lpstr>
      <vt:lpstr>PnC10f_K_Pe04</vt:lpstr>
      <vt:lpstr>PnC10f_K_Pe045</vt:lpstr>
      <vt:lpstr>PnC10f_K_Pe065</vt:lpstr>
      <vt:lpstr>PnC10f_K_Pe07</vt:lpstr>
      <vt:lpstr>PnC10f_K_Pe08</vt:lpstr>
      <vt:lpstr>PnC10f_K_PEdp</vt:lpstr>
      <vt:lpstr>PnC10f_K_Pt</vt:lpstr>
      <vt:lpstr>PnC10f_K_Ptdach</vt:lpstr>
      <vt:lpstr>PnC10f_K_Ptdp</vt:lpstr>
      <vt:lpstr>PnC10f_K_PtNN</vt:lpstr>
      <vt:lpstr>PnC10f_K_Pur</vt:lpstr>
      <vt:lpstr>PnC10f_K_Q</vt:lpstr>
      <vt:lpstr>PnC10f_K_Ql</vt:lpstr>
      <vt:lpstr>PnC10f_K_Sat</vt:lpstr>
      <vt:lpstr>PnC10f_K_Sf</vt:lpstr>
      <vt:lpstr>PnC10f_K_StBarhat</vt:lpstr>
      <vt:lpstr>PnC10f_K_Vel</vt:lpstr>
      <vt:lpstr>PnC10f_K_Zn035</vt:lpstr>
      <vt:lpstr>PnC10f_K_Zn04</vt:lpstr>
      <vt:lpstr>PnC10f_K_Zn045</vt:lpstr>
      <vt:lpstr>PnC10f_K_Zn05</vt:lpstr>
      <vt:lpstr>PnC10f_K_Zn055</vt:lpstr>
      <vt:lpstr>PnC10f_K_Zn07</vt:lpstr>
      <vt:lpstr>PnC10f_K_Zn08</vt:lpstr>
      <vt:lpstr>PnC10f_K_Zn09</vt:lpstr>
      <vt:lpstr>PnC10f_Pdx</vt:lpstr>
      <vt:lpstr>PnC10f_Pdxmatt</vt:lpstr>
      <vt:lpstr>PnC10f_Pe04</vt:lpstr>
      <vt:lpstr>PnC10f_Pe045</vt:lpstr>
      <vt:lpstr>PnC10f_Pe065</vt:lpstr>
      <vt:lpstr>PnC10f_Pe07</vt:lpstr>
      <vt:lpstr>PnC10f_Pe08</vt:lpstr>
      <vt:lpstr>PnC10f_PEdp</vt:lpstr>
      <vt:lpstr>PnC10f_Pt</vt:lpstr>
      <vt:lpstr>PnC10f_Ptdach</vt:lpstr>
      <vt:lpstr>PnC10f_Ptdp</vt:lpstr>
      <vt:lpstr>PnC10f_PtNN</vt:lpstr>
      <vt:lpstr>PnC10f_Pur</vt:lpstr>
      <vt:lpstr>PnC10f_Q</vt:lpstr>
      <vt:lpstr>PnC10f_Ql</vt:lpstr>
      <vt:lpstr>PnC10f_Sat</vt:lpstr>
      <vt:lpstr>PnC10f_Sf</vt:lpstr>
      <vt:lpstr>PnC10f_StBarhat</vt:lpstr>
      <vt:lpstr>PnC10f_Vel</vt:lpstr>
      <vt:lpstr>PnC10f_Zn035</vt:lpstr>
      <vt:lpstr>PnC10f_Zn04</vt:lpstr>
      <vt:lpstr>PnC10f_Zn045</vt:lpstr>
      <vt:lpstr>PnC10f_Zn05</vt:lpstr>
      <vt:lpstr>PnC10f_Zn055</vt:lpstr>
      <vt:lpstr>PnC10f_Zn07</vt:lpstr>
      <vt:lpstr>PnC10f_Zn08</vt:lpstr>
      <vt:lpstr>PnC10f_Zn09</vt:lpstr>
      <vt:lpstr>PnC20_Atl</vt:lpstr>
      <vt:lpstr>PnC20_dachPr</vt:lpstr>
      <vt:lpstr>PnC20_dachSk</vt:lpstr>
      <vt:lpstr>PnC20_Dr</vt:lpstr>
      <vt:lpstr>PnC20_K_Atl</vt:lpstr>
      <vt:lpstr>PnC20_K_dachPr</vt:lpstr>
      <vt:lpstr>PnC20_K_dachSk</vt:lpstr>
      <vt:lpstr>PnC20_K_Dr</vt:lpstr>
      <vt:lpstr>PnC20_K_Pdx</vt:lpstr>
      <vt:lpstr>PnC20_K_Pdxmatt</vt:lpstr>
      <vt:lpstr>PnC20_K_Pe04</vt:lpstr>
      <vt:lpstr>PnC20_K_Pe045</vt:lpstr>
      <vt:lpstr>PnC20_K_Pe065</vt:lpstr>
      <vt:lpstr>PnC20_K_Pe07</vt:lpstr>
      <vt:lpstr>PnC20_K_Pe08</vt:lpstr>
      <vt:lpstr>PnC20_K_PEdp</vt:lpstr>
      <vt:lpstr>PnC20_K_Pt</vt:lpstr>
      <vt:lpstr>PnC20_K_Ptdach</vt:lpstr>
      <vt:lpstr>PnC20_K_Ptdp</vt:lpstr>
      <vt:lpstr>PnC20_K_PtNN</vt:lpstr>
      <vt:lpstr>PnC20_K_Pur</vt:lpstr>
      <vt:lpstr>PnC20_K_Q</vt:lpstr>
      <vt:lpstr>PnC20_K_Ql</vt:lpstr>
      <vt:lpstr>PnC20_K_Sat</vt:lpstr>
      <vt:lpstr>PnC20_K_Sf</vt:lpstr>
      <vt:lpstr>PnC20_K_StBarhat</vt:lpstr>
      <vt:lpstr>PnC20_K_Vel</vt:lpstr>
      <vt:lpstr>PnC20_K_Zn035</vt:lpstr>
      <vt:lpstr>PnC20_K_Zn04</vt:lpstr>
      <vt:lpstr>PnC20_K_Zn045</vt:lpstr>
      <vt:lpstr>PnC20_K_Zn05</vt:lpstr>
      <vt:lpstr>PnC20_K_Zn055</vt:lpstr>
      <vt:lpstr>PnC20_K_Zn07</vt:lpstr>
      <vt:lpstr>PnC20_K_Zn08</vt:lpstr>
      <vt:lpstr>PnC20_K_Zn09</vt:lpstr>
      <vt:lpstr>PnC20_Pdx</vt:lpstr>
      <vt:lpstr>PnC20_Pdxmatt</vt:lpstr>
      <vt:lpstr>PnC20_Pe04</vt:lpstr>
      <vt:lpstr>PnC20_Pe045</vt:lpstr>
      <vt:lpstr>PnC20_Pe065</vt:lpstr>
      <vt:lpstr>PnC20_Pe07</vt:lpstr>
      <vt:lpstr>PnC20_Pe08</vt:lpstr>
      <vt:lpstr>PnC20_PEdp</vt:lpstr>
      <vt:lpstr>PnC20_Pt</vt:lpstr>
      <vt:lpstr>PnC20_Ptdach</vt:lpstr>
      <vt:lpstr>PnC20_Ptdp</vt:lpstr>
      <vt:lpstr>PnC20_PtNN</vt:lpstr>
      <vt:lpstr>PnC20_Pur</vt:lpstr>
      <vt:lpstr>PnC20_Q</vt:lpstr>
      <vt:lpstr>PnC20_Ql</vt:lpstr>
      <vt:lpstr>PnC20_Sat</vt:lpstr>
      <vt:lpstr>PnC20_Sf</vt:lpstr>
      <vt:lpstr>PnC20_StBarhat</vt:lpstr>
      <vt:lpstr>PnC20_Vel</vt:lpstr>
      <vt:lpstr>PnC20_Zn035</vt:lpstr>
      <vt:lpstr>PnC20_Zn04</vt:lpstr>
      <vt:lpstr>PnC20_Zn045</vt:lpstr>
      <vt:lpstr>PnC20_Zn05</vt:lpstr>
      <vt:lpstr>PnC20_Zn055</vt:lpstr>
      <vt:lpstr>PnC20_Zn07</vt:lpstr>
      <vt:lpstr>PnC20_Zn08</vt:lpstr>
      <vt:lpstr>PnC20_Zn09</vt:lpstr>
      <vt:lpstr>PnC21_Atl</vt:lpstr>
      <vt:lpstr>PnC21_dachPr</vt:lpstr>
      <vt:lpstr>PnC21_dachSk</vt:lpstr>
      <vt:lpstr>PnC21_Dr</vt:lpstr>
      <vt:lpstr>PnC21_K_Atl</vt:lpstr>
      <vt:lpstr>PnC21_K_dachPr</vt:lpstr>
      <vt:lpstr>PnC21_K_dachSk</vt:lpstr>
      <vt:lpstr>PnC21_K_Dr</vt:lpstr>
      <vt:lpstr>PnC21_K_Pdx</vt:lpstr>
      <vt:lpstr>PnC21_K_Pdxmatt</vt:lpstr>
      <vt:lpstr>PnC21_K_Pe04</vt:lpstr>
      <vt:lpstr>PnC21_K_Pe045</vt:lpstr>
      <vt:lpstr>PnC21_K_Pe065</vt:lpstr>
      <vt:lpstr>PnC21_K_Pe07</vt:lpstr>
      <vt:lpstr>PnC21_K_Pe08</vt:lpstr>
      <vt:lpstr>PnC21_K_PEdp</vt:lpstr>
      <vt:lpstr>PnC21_K_Pt</vt:lpstr>
      <vt:lpstr>PnC21_K_Ptdach</vt:lpstr>
      <vt:lpstr>PnC21_K_Ptdp</vt:lpstr>
      <vt:lpstr>PnC21_K_PtNN</vt:lpstr>
      <vt:lpstr>PnC21_K_Pur</vt:lpstr>
      <vt:lpstr>PnC21_K_Q</vt:lpstr>
      <vt:lpstr>PnC21_K_Ql</vt:lpstr>
      <vt:lpstr>PnC21_K_Sat</vt:lpstr>
      <vt:lpstr>PnC21_K_Sf</vt:lpstr>
      <vt:lpstr>PnC21_K_StBarhat</vt:lpstr>
      <vt:lpstr>PnC21_K_Vel</vt:lpstr>
      <vt:lpstr>PnC21_K_Zn035</vt:lpstr>
      <vt:lpstr>PnC21_K_Zn04</vt:lpstr>
      <vt:lpstr>PnC21_K_Zn045</vt:lpstr>
      <vt:lpstr>PnC21_K_Zn05</vt:lpstr>
      <vt:lpstr>PnC21_K_Zn055</vt:lpstr>
      <vt:lpstr>PnC21_K_Zn07</vt:lpstr>
      <vt:lpstr>PnC21_K_Zn08</vt:lpstr>
      <vt:lpstr>PnC21_K_Zn09</vt:lpstr>
      <vt:lpstr>PnC21_Pdx</vt:lpstr>
      <vt:lpstr>PnC21_Pdxmatt</vt:lpstr>
      <vt:lpstr>PnC21_Pe04</vt:lpstr>
      <vt:lpstr>PnC21_Pe045</vt:lpstr>
      <vt:lpstr>PnC21_Pe065</vt:lpstr>
      <vt:lpstr>PnC21_Pe07</vt:lpstr>
      <vt:lpstr>PnC21_Pe08</vt:lpstr>
      <vt:lpstr>PnC21_PEdp</vt:lpstr>
      <vt:lpstr>PnC21_Pt</vt:lpstr>
      <vt:lpstr>PnC21_Ptdach</vt:lpstr>
      <vt:lpstr>PnC21_Ptdp</vt:lpstr>
      <vt:lpstr>PnC21_PtNN</vt:lpstr>
      <vt:lpstr>PnC21_Pur</vt:lpstr>
      <vt:lpstr>PnC21_Q</vt:lpstr>
      <vt:lpstr>PnC21_Ql</vt:lpstr>
      <vt:lpstr>PnC21_Sat</vt:lpstr>
      <vt:lpstr>PnC21_Sf</vt:lpstr>
      <vt:lpstr>PnC21_StBarhat</vt:lpstr>
      <vt:lpstr>PnC21_Vel</vt:lpstr>
      <vt:lpstr>PnC21_Zn035</vt:lpstr>
      <vt:lpstr>PnC21_Zn04</vt:lpstr>
      <vt:lpstr>PnC21_Zn045</vt:lpstr>
      <vt:lpstr>PnC21_Zn05</vt:lpstr>
      <vt:lpstr>PnC21_Zn055</vt:lpstr>
      <vt:lpstr>PnC21_Zn07</vt:lpstr>
      <vt:lpstr>PnC21_Zn08</vt:lpstr>
      <vt:lpstr>PnC21_Zn09</vt:lpstr>
      <vt:lpstr>PnC8_Atl</vt:lpstr>
      <vt:lpstr>PnC8_dachPr</vt:lpstr>
      <vt:lpstr>PnC8_dachSk</vt:lpstr>
      <vt:lpstr>PnC8_Dr</vt:lpstr>
      <vt:lpstr>PnC8_K_Atl</vt:lpstr>
      <vt:lpstr>PnC8_K_dachPr</vt:lpstr>
      <vt:lpstr>PnC8_K_dachSk</vt:lpstr>
      <vt:lpstr>PnC8_K_Dr</vt:lpstr>
      <vt:lpstr>PnC8_K_Pdx</vt:lpstr>
      <vt:lpstr>PnC8_K_Pdxmatt</vt:lpstr>
      <vt:lpstr>PnC8_K_Pe04</vt:lpstr>
      <vt:lpstr>PnC8_K_Pe045</vt:lpstr>
      <vt:lpstr>PnC8_K_Pe065</vt:lpstr>
      <vt:lpstr>PnC8_K_Pe07</vt:lpstr>
      <vt:lpstr>PnC8_K_Pe08</vt:lpstr>
      <vt:lpstr>PnC8_K_PEdp</vt:lpstr>
      <vt:lpstr>PnC8_K_Pt</vt:lpstr>
      <vt:lpstr>PnC8_K_Ptdach</vt:lpstr>
      <vt:lpstr>PnC8_K_Ptdp</vt:lpstr>
      <vt:lpstr>PnC8_K_PtNN</vt:lpstr>
      <vt:lpstr>PnC8_K_Pur</vt:lpstr>
      <vt:lpstr>PnC8_K_Q</vt:lpstr>
      <vt:lpstr>PnC8_K_Ql</vt:lpstr>
      <vt:lpstr>PnC8_K_Sat</vt:lpstr>
      <vt:lpstr>PnC8_K_Sf</vt:lpstr>
      <vt:lpstr>PnC8_K_StBarhat</vt:lpstr>
      <vt:lpstr>PnC8_K_Vel</vt:lpstr>
      <vt:lpstr>PnC8_K_Zn035</vt:lpstr>
      <vt:lpstr>PnC8_K_Zn04</vt:lpstr>
      <vt:lpstr>PnC8_K_Zn045</vt:lpstr>
      <vt:lpstr>PnC8_K_Zn05</vt:lpstr>
      <vt:lpstr>PnC8_K_Zn055</vt:lpstr>
      <vt:lpstr>PnC8_K_Zn07</vt:lpstr>
      <vt:lpstr>PnC8_K_Zn08</vt:lpstr>
      <vt:lpstr>PnC8_K_Zn09</vt:lpstr>
      <vt:lpstr>PnC8_Pdx</vt:lpstr>
      <vt:lpstr>PnC8_Pdxmatt</vt:lpstr>
      <vt:lpstr>PnC8_Pe04</vt:lpstr>
      <vt:lpstr>PnC8_Pe045</vt:lpstr>
      <vt:lpstr>PnC8_Pe065</vt:lpstr>
      <vt:lpstr>PnC8_Pe07</vt:lpstr>
      <vt:lpstr>PnC8_Pe08</vt:lpstr>
      <vt:lpstr>PnC8_PEdp</vt:lpstr>
      <vt:lpstr>PnC8_Pt</vt:lpstr>
      <vt:lpstr>PnC8_Ptdach</vt:lpstr>
      <vt:lpstr>PnC8_Ptdp</vt:lpstr>
      <vt:lpstr>PnC8_PtNN</vt:lpstr>
      <vt:lpstr>PnC8_Pur</vt:lpstr>
      <vt:lpstr>PnC8_Q</vt:lpstr>
      <vt:lpstr>PnC8_Ql</vt:lpstr>
      <vt:lpstr>PnC8_Sat</vt:lpstr>
      <vt:lpstr>PnC8_Sf</vt:lpstr>
      <vt:lpstr>PnC8_StBarhat</vt:lpstr>
      <vt:lpstr>PnC8_Vel</vt:lpstr>
      <vt:lpstr>PnC8_Zn035</vt:lpstr>
      <vt:lpstr>PnC8_Zn04</vt:lpstr>
      <vt:lpstr>PnC8_Zn045</vt:lpstr>
      <vt:lpstr>PnC8_Zn05</vt:lpstr>
      <vt:lpstr>PnC8_Zn055</vt:lpstr>
      <vt:lpstr>PnC8_Zn07</vt:lpstr>
      <vt:lpstr>PnC8_Zn08</vt:lpstr>
      <vt:lpstr>PnC8_Zn09</vt:lpstr>
      <vt:lpstr>PnC8Uno_Pe045</vt:lpstr>
      <vt:lpstr>PnH60_Atl</vt:lpstr>
      <vt:lpstr>PnH60_dachPr</vt:lpstr>
      <vt:lpstr>PnH60_dachSk</vt:lpstr>
      <vt:lpstr>PnH60_Dr</vt:lpstr>
      <vt:lpstr>PnH60_K_Atl</vt:lpstr>
      <vt:lpstr>PnH60_K_dachPr</vt:lpstr>
      <vt:lpstr>PnH60_K_dachSk</vt:lpstr>
      <vt:lpstr>PnH60_K_Dr</vt:lpstr>
      <vt:lpstr>PnH60_K_Pdx</vt:lpstr>
      <vt:lpstr>PnH60_K_Pdxmatt</vt:lpstr>
      <vt:lpstr>PnH60_K_Pe04</vt:lpstr>
      <vt:lpstr>PnH60_K_Pe045</vt:lpstr>
      <vt:lpstr>PnH60_K_Pe065</vt:lpstr>
      <vt:lpstr>PnH60_K_Pe07</vt:lpstr>
      <vt:lpstr>PnH60_K_Pe08</vt:lpstr>
      <vt:lpstr>PnH60_K_PEdp</vt:lpstr>
      <vt:lpstr>PnH60_K_Pt</vt:lpstr>
      <vt:lpstr>PnH60_K_Ptdach</vt:lpstr>
      <vt:lpstr>PnH60_K_Ptdp</vt:lpstr>
      <vt:lpstr>PnH60_K_PtNN</vt:lpstr>
      <vt:lpstr>PnH60_K_Pur</vt:lpstr>
      <vt:lpstr>PnH60_K_Q</vt:lpstr>
      <vt:lpstr>PnH60_K_Ql</vt:lpstr>
      <vt:lpstr>PnH60_K_Sat</vt:lpstr>
      <vt:lpstr>PnH60_K_Sf</vt:lpstr>
      <vt:lpstr>PnH60_K_StBarhat</vt:lpstr>
      <vt:lpstr>PnH60_K_Vel</vt:lpstr>
      <vt:lpstr>PnH60_K_Zn035</vt:lpstr>
      <vt:lpstr>PnH60_K_Zn04</vt:lpstr>
      <vt:lpstr>PnH60_K_Zn045</vt:lpstr>
      <vt:lpstr>PnH60_K_Zn05</vt:lpstr>
      <vt:lpstr>PnH60_K_Zn055</vt:lpstr>
      <vt:lpstr>PnH60_K_Zn07</vt:lpstr>
      <vt:lpstr>PnH60_K_Zn08</vt:lpstr>
      <vt:lpstr>PnH60_K_Zn09</vt:lpstr>
      <vt:lpstr>PnH60_Pdx</vt:lpstr>
      <vt:lpstr>PnH60_Pdxmatt</vt:lpstr>
      <vt:lpstr>PnH60_Pe04</vt:lpstr>
      <vt:lpstr>PnH60_Pe045</vt:lpstr>
      <vt:lpstr>PnH60_Pe065</vt:lpstr>
      <vt:lpstr>PnH60_Pe07</vt:lpstr>
      <vt:lpstr>PnH60_Pe08</vt:lpstr>
      <vt:lpstr>PnH60_PEdp</vt:lpstr>
      <vt:lpstr>PnH60_Pt</vt:lpstr>
      <vt:lpstr>PnH60_Ptdach</vt:lpstr>
      <vt:lpstr>PnH60_Ptdp</vt:lpstr>
      <vt:lpstr>PnH60_PtNN</vt:lpstr>
      <vt:lpstr>PnH60_Pur</vt:lpstr>
      <vt:lpstr>PnH60_Q</vt:lpstr>
      <vt:lpstr>PnH60_Ql</vt:lpstr>
      <vt:lpstr>PnH60_Sat</vt:lpstr>
      <vt:lpstr>PnH60_Sf</vt:lpstr>
      <vt:lpstr>PnH60_StBarhat</vt:lpstr>
      <vt:lpstr>PnH60_Vel</vt:lpstr>
      <vt:lpstr>PnH60_Zn035</vt:lpstr>
      <vt:lpstr>PnH60_Zn04</vt:lpstr>
      <vt:lpstr>PnH60_Zn045</vt:lpstr>
      <vt:lpstr>PnH60_Zn05</vt:lpstr>
      <vt:lpstr>PnH60_Zn055</vt:lpstr>
      <vt:lpstr>PnH60_Zn07</vt:lpstr>
      <vt:lpstr>PnH60_Zn08</vt:lpstr>
      <vt:lpstr>PnH60_Zn09</vt:lpstr>
      <vt:lpstr>PnH75_Atl</vt:lpstr>
      <vt:lpstr>PnH75_dachPr</vt:lpstr>
      <vt:lpstr>PnH75_dachSk</vt:lpstr>
      <vt:lpstr>PnH75_Dr</vt:lpstr>
      <vt:lpstr>PnH75_K_Atl</vt:lpstr>
      <vt:lpstr>PnH75_K_dachPr</vt:lpstr>
      <vt:lpstr>PnH75_K_dachSk</vt:lpstr>
      <vt:lpstr>PnH75_K_Dr</vt:lpstr>
      <vt:lpstr>PnH75_K_Pdx</vt:lpstr>
      <vt:lpstr>PnH75_K_Pdxmatt</vt:lpstr>
      <vt:lpstr>PnH75_K_Pe04</vt:lpstr>
      <vt:lpstr>PnH75_K_Pe045</vt:lpstr>
      <vt:lpstr>PnH75_K_Pe065</vt:lpstr>
      <vt:lpstr>PnH75_K_Pe07</vt:lpstr>
      <vt:lpstr>PnH75_K_Pe08</vt:lpstr>
      <vt:lpstr>PnH75_K_PEdp</vt:lpstr>
      <vt:lpstr>PnH75_K_Pt</vt:lpstr>
      <vt:lpstr>PnH75_K_Ptdach</vt:lpstr>
      <vt:lpstr>PnH75_K_Ptdp</vt:lpstr>
      <vt:lpstr>PnH75_K_PtNN</vt:lpstr>
      <vt:lpstr>PnH75_K_Pur</vt:lpstr>
      <vt:lpstr>PnH75_K_Q</vt:lpstr>
      <vt:lpstr>PnH75_K_Ql</vt:lpstr>
      <vt:lpstr>PnH75_K_Sat</vt:lpstr>
      <vt:lpstr>PnH75_K_Sf</vt:lpstr>
      <vt:lpstr>PnH75_K_StBarhat</vt:lpstr>
      <vt:lpstr>PnH75_K_Vel</vt:lpstr>
      <vt:lpstr>PnH75_K_Zn035</vt:lpstr>
      <vt:lpstr>PnH75_K_Zn04</vt:lpstr>
      <vt:lpstr>PnH75_K_Zn045</vt:lpstr>
      <vt:lpstr>PnH75_K_Zn05</vt:lpstr>
      <vt:lpstr>PnH75_K_Zn055</vt:lpstr>
      <vt:lpstr>PnH75_K_Zn07</vt:lpstr>
      <vt:lpstr>PnH75_K_Zn08</vt:lpstr>
      <vt:lpstr>PnH75_K_Zn09</vt:lpstr>
      <vt:lpstr>PnH75_Pdx</vt:lpstr>
      <vt:lpstr>PnH75_Pdxmatt</vt:lpstr>
      <vt:lpstr>PnH75_Pe04</vt:lpstr>
      <vt:lpstr>PnH75_Pe045</vt:lpstr>
      <vt:lpstr>PnH75_Pe065</vt:lpstr>
      <vt:lpstr>PnH75_Pe07</vt:lpstr>
      <vt:lpstr>PnH75_Pe08</vt:lpstr>
      <vt:lpstr>PnH75_PEdp</vt:lpstr>
      <vt:lpstr>PnH75_Pt</vt:lpstr>
      <vt:lpstr>PnH75_Ptdach</vt:lpstr>
      <vt:lpstr>PnH75_Ptdp</vt:lpstr>
      <vt:lpstr>PnH75_PtNN</vt:lpstr>
      <vt:lpstr>PnH75_Pur</vt:lpstr>
      <vt:lpstr>PnH75_Q</vt:lpstr>
      <vt:lpstr>PnH75_Ql</vt:lpstr>
      <vt:lpstr>PnH75_Sat</vt:lpstr>
      <vt:lpstr>PnH75_Sf</vt:lpstr>
      <vt:lpstr>PnH75_StBarhat</vt:lpstr>
      <vt:lpstr>PnH75_Vel</vt:lpstr>
      <vt:lpstr>PnH75_Zn035</vt:lpstr>
      <vt:lpstr>PnH75_Zn04</vt:lpstr>
      <vt:lpstr>PnH75_Zn045</vt:lpstr>
      <vt:lpstr>PnH75_Zn05</vt:lpstr>
      <vt:lpstr>PnH75_Zn055</vt:lpstr>
      <vt:lpstr>PnH75_Zn07</vt:lpstr>
      <vt:lpstr>PnH75_Zn08</vt:lpstr>
      <vt:lpstr>PnH75_Zn09</vt:lpstr>
      <vt:lpstr>PnHC35_Atl</vt:lpstr>
      <vt:lpstr>PnHC35_dachPr</vt:lpstr>
      <vt:lpstr>PnHC35_dachSk</vt:lpstr>
      <vt:lpstr>PnHC35_Dr</vt:lpstr>
      <vt:lpstr>PnHC35_K_Atl</vt:lpstr>
      <vt:lpstr>PnHC35_K_dachPr</vt:lpstr>
      <vt:lpstr>PnHC35_K_dachSk</vt:lpstr>
      <vt:lpstr>PnHC35_K_Dr</vt:lpstr>
      <vt:lpstr>PnHC35_K_Pdx</vt:lpstr>
      <vt:lpstr>PnHC35_K_Pdxmatt</vt:lpstr>
      <vt:lpstr>PnHC35_K_Pe04</vt:lpstr>
      <vt:lpstr>PnHC35_K_Pe045</vt:lpstr>
      <vt:lpstr>PnHC35_K_Pe065</vt:lpstr>
      <vt:lpstr>PnHC35_K_Pe07</vt:lpstr>
      <vt:lpstr>PnHC35_K_Pe08</vt:lpstr>
      <vt:lpstr>PnHC35_K_PEdp</vt:lpstr>
      <vt:lpstr>PnHC35_K_Pt</vt:lpstr>
      <vt:lpstr>PnHC35_K_Ptdach</vt:lpstr>
      <vt:lpstr>PnHC35_K_Ptdp</vt:lpstr>
      <vt:lpstr>PnHC35_K_PtNN</vt:lpstr>
      <vt:lpstr>PnHC35_K_Pur</vt:lpstr>
      <vt:lpstr>PnHC35_K_Q</vt:lpstr>
      <vt:lpstr>PnHC35_K_Ql</vt:lpstr>
      <vt:lpstr>PnHC35_K_Sat</vt:lpstr>
      <vt:lpstr>PnHC35_K_Sf</vt:lpstr>
      <vt:lpstr>PnHC35_K_StBarhat</vt:lpstr>
      <vt:lpstr>PnHC35_K_Vel</vt:lpstr>
      <vt:lpstr>PnHC35_K_Zn035</vt:lpstr>
      <vt:lpstr>PnHC35_K_Zn04</vt:lpstr>
      <vt:lpstr>PnHC35_K_Zn045</vt:lpstr>
      <vt:lpstr>PnHC35_K_Zn05</vt:lpstr>
      <vt:lpstr>PnHC35_K_Zn055</vt:lpstr>
      <vt:lpstr>PnHC35_K_Zn07</vt:lpstr>
      <vt:lpstr>PnHC35_K_Zn08</vt:lpstr>
      <vt:lpstr>PnHC35_K_Zn09</vt:lpstr>
      <vt:lpstr>PnHC35_Pdx</vt:lpstr>
      <vt:lpstr>PnHC35_Pdxmatt</vt:lpstr>
      <vt:lpstr>PnHC35_Pe04</vt:lpstr>
      <vt:lpstr>PnHC35_Pe045</vt:lpstr>
      <vt:lpstr>PnHC35_Pe065</vt:lpstr>
      <vt:lpstr>PnHC35_Pe07</vt:lpstr>
      <vt:lpstr>PnHC35_Pe08</vt:lpstr>
      <vt:lpstr>PnHC35_PEdp</vt:lpstr>
      <vt:lpstr>PnHC35_Pt</vt:lpstr>
      <vt:lpstr>PnHC35_Ptdach</vt:lpstr>
      <vt:lpstr>PnHC35_Ptdp</vt:lpstr>
      <vt:lpstr>PnHC35_PtNN</vt:lpstr>
      <vt:lpstr>PnHC35_Pur</vt:lpstr>
      <vt:lpstr>PnHC35_Q</vt:lpstr>
      <vt:lpstr>PnHC35_Ql</vt:lpstr>
      <vt:lpstr>PnHC35_Sat</vt:lpstr>
      <vt:lpstr>PnHC35_Sf</vt:lpstr>
      <vt:lpstr>PnHC35_StBarhat</vt:lpstr>
      <vt:lpstr>PnHC35_Vel</vt:lpstr>
      <vt:lpstr>PnHC35_Zn035</vt:lpstr>
      <vt:lpstr>PnHC35_Zn04</vt:lpstr>
      <vt:lpstr>PnHC35_Zn045</vt:lpstr>
      <vt:lpstr>PnHC35_Zn05</vt:lpstr>
      <vt:lpstr>PnHC35_Zn055</vt:lpstr>
      <vt:lpstr>PnHC35_Zn07</vt:lpstr>
      <vt:lpstr>PnHC35_Zn08</vt:lpstr>
      <vt:lpstr>PnHC35_Zn09</vt:lpstr>
      <vt:lpstr>S_BHaus_Atl</vt:lpstr>
      <vt:lpstr>S_BHaus_dachPr</vt:lpstr>
      <vt:lpstr>S_BHaus_dachSk</vt:lpstr>
      <vt:lpstr>S_BHaus_Dr</vt:lpstr>
      <vt:lpstr>S_BHaus_Pdx</vt:lpstr>
      <vt:lpstr>S_BHaus_Pdxmatt</vt:lpstr>
      <vt:lpstr>S_BHaus_Pe04</vt:lpstr>
      <vt:lpstr>S_BHaus_Pe045</vt:lpstr>
      <vt:lpstr>S_BHaus_Pe065</vt:lpstr>
      <vt:lpstr>S_BHaus_Pe07</vt:lpstr>
      <vt:lpstr>S_BHaus_Pe08</vt:lpstr>
      <vt:lpstr>S_BHaus_PEdp</vt:lpstr>
      <vt:lpstr>S_BHaus_Pt</vt:lpstr>
      <vt:lpstr>S_BHaus_Ptdach</vt:lpstr>
      <vt:lpstr>S_BHaus_Ptdp</vt:lpstr>
      <vt:lpstr>S_BHaus_PtNN</vt:lpstr>
      <vt:lpstr>S_BHaus_Pur</vt:lpstr>
      <vt:lpstr>S_BHaus_Q</vt:lpstr>
      <vt:lpstr>S_BHaus_Ql</vt:lpstr>
      <vt:lpstr>S_BHaus_Sat</vt:lpstr>
      <vt:lpstr>S_BHaus_Sf</vt:lpstr>
      <vt:lpstr>S_BHaus_StBarhat</vt:lpstr>
      <vt:lpstr>S_BHaus_Vel</vt:lpstr>
      <vt:lpstr>S_BHausNew_Atl</vt:lpstr>
      <vt:lpstr>S_BHausNew_dachPr</vt:lpstr>
      <vt:lpstr>S_BHausNew_dachSk</vt:lpstr>
      <vt:lpstr>S_BHausNew_Dr</vt:lpstr>
      <vt:lpstr>S_BHausNew_K_Atl</vt:lpstr>
      <vt:lpstr>S_BHausNew_K_dachPr</vt:lpstr>
      <vt:lpstr>S_BHausNew_K_dachSk</vt:lpstr>
      <vt:lpstr>S_BHausNew_K_Dr</vt:lpstr>
      <vt:lpstr>S_BHausNew_K_Pdx</vt:lpstr>
      <vt:lpstr>S_BHausNew_K_Pdxmatt</vt:lpstr>
      <vt:lpstr>S_BHausNew_K_Pe04</vt:lpstr>
      <vt:lpstr>S_BHausNew_K_Pe045</vt:lpstr>
      <vt:lpstr>S_BHausNew_K_Pe065</vt:lpstr>
      <vt:lpstr>S_BHausNew_K_Pe07</vt:lpstr>
      <vt:lpstr>S_BHausNew_K_Pe08</vt:lpstr>
      <vt:lpstr>S_BHausNew_K_PEdp</vt:lpstr>
      <vt:lpstr>S_BHausNew_K_Pt</vt:lpstr>
      <vt:lpstr>S_BHausNew_K_Ptdach</vt:lpstr>
      <vt:lpstr>S_BHausNew_K_Ptdp</vt:lpstr>
      <vt:lpstr>S_BHausNew_K_PtNN</vt:lpstr>
      <vt:lpstr>S_BHausNew_K_Pur</vt:lpstr>
      <vt:lpstr>S_BHausNew_K_Q</vt:lpstr>
      <vt:lpstr>S_BHausNew_K_Ql</vt:lpstr>
      <vt:lpstr>S_BHausNew_K_Sat</vt:lpstr>
      <vt:lpstr>S_BHausNew_K_Sf</vt:lpstr>
      <vt:lpstr>S_BHausNew_K_StBarhat</vt:lpstr>
      <vt:lpstr>S_BHausNew_K_Vel</vt:lpstr>
      <vt:lpstr>S_BHausNew_Pdx</vt:lpstr>
      <vt:lpstr>S_BHausNew_Pdxmatt</vt:lpstr>
      <vt:lpstr>S_BHausNew_Pe04</vt:lpstr>
      <vt:lpstr>S_BHausNew_Pe045</vt:lpstr>
      <vt:lpstr>S_BHausNew_Pe065</vt:lpstr>
      <vt:lpstr>S_BHausNew_Pe07</vt:lpstr>
      <vt:lpstr>S_BHausNew_Pe08</vt:lpstr>
      <vt:lpstr>S_BHausNew_PEdp</vt:lpstr>
      <vt:lpstr>S_BHausNew_Pt</vt:lpstr>
      <vt:lpstr>S_BHausNew_Ptdach</vt:lpstr>
      <vt:lpstr>S_BHausNew_Ptdp</vt:lpstr>
      <vt:lpstr>S_BHausNew_PtNN</vt:lpstr>
      <vt:lpstr>S_BHausNew_Pur</vt:lpstr>
      <vt:lpstr>S_BHausNew_Q</vt:lpstr>
      <vt:lpstr>S_BHausNew_Ql</vt:lpstr>
      <vt:lpstr>S_BHausNew_Sat</vt:lpstr>
      <vt:lpstr>S_BHausNew_Sf</vt:lpstr>
      <vt:lpstr>S_BHausNew_StBarhat</vt:lpstr>
      <vt:lpstr>S_BHausNew_Vel</vt:lpstr>
      <vt:lpstr>S_EBrus_Atl</vt:lpstr>
      <vt:lpstr>S_EBrus_dachPr</vt:lpstr>
      <vt:lpstr>S_EBrus_dachSk</vt:lpstr>
      <vt:lpstr>S_EBrus_Dr</vt:lpstr>
      <vt:lpstr>S_EBrus_Pdx</vt:lpstr>
      <vt:lpstr>S_EBrus_Pdxmatt</vt:lpstr>
      <vt:lpstr>S_EBrus_Pe04</vt:lpstr>
      <vt:lpstr>S_EBrus_Pe045</vt:lpstr>
      <vt:lpstr>S_EBrus_Pe065</vt:lpstr>
      <vt:lpstr>S_EBrus_Pe07</vt:lpstr>
      <vt:lpstr>S_EBrus_Pe08</vt:lpstr>
      <vt:lpstr>S_EBrus_PEdp</vt:lpstr>
      <vt:lpstr>S_EBrus_Pt</vt:lpstr>
      <vt:lpstr>S_EBrus_Ptdach</vt:lpstr>
      <vt:lpstr>S_EBrus_Ptdp</vt:lpstr>
      <vt:lpstr>S_EBrus_PtNN</vt:lpstr>
      <vt:lpstr>S_EBrus_Pur</vt:lpstr>
      <vt:lpstr>S_EBrus_Q</vt:lpstr>
      <vt:lpstr>S_EBrus_Ql</vt:lpstr>
      <vt:lpstr>S_EBrus_Sat</vt:lpstr>
      <vt:lpstr>S_EBrus_Sf</vt:lpstr>
      <vt:lpstr>S_EBrus_StBarhat</vt:lpstr>
      <vt:lpstr>S_EBrus_Vel</vt:lpstr>
      <vt:lpstr>s_K_BHaus_K_Atl</vt:lpstr>
      <vt:lpstr>s_K_BHaus_K_dachPr</vt:lpstr>
      <vt:lpstr>s_K_BHaus_K_dachSk</vt:lpstr>
      <vt:lpstr>s_K_BHaus_K_Dr</vt:lpstr>
      <vt:lpstr>s_K_BHaus_K_Pdx</vt:lpstr>
      <vt:lpstr>s_K_BHaus_K_Pdxmatt</vt:lpstr>
      <vt:lpstr>s_K_BHaus_K_Pe04</vt:lpstr>
      <vt:lpstr>s_K_BHaus_K_Pe045</vt:lpstr>
      <vt:lpstr>s_K_BHaus_K_Pe065</vt:lpstr>
      <vt:lpstr>s_K_BHaus_K_Pe07</vt:lpstr>
      <vt:lpstr>s_K_BHaus_K_Pe08</vt:lpstr>
      <vt:lpstr>s_K_BHaus_K_PEdp</vt:lpstr>
      <vt:lpstr>s_K_BHaus_K_Pt</vt:lpstr>
      <vt:lpstr>s_K_BHaus_K_Ptdach</vt:lpstr>
      <vt:lpstr>s_K_BHaus_K_Ptdp</vt:lpstr>
      <vt:lpstr>s_K_BHaus_K_PtNN</vt:lpstr>
      <vt:lpstr>s_K_BHaus_K_Pur</vt:lpstr>
      <vt:lpstr>s_K_BHaus_K_Q</vt:lpstr>
      <vt:lpstr>s_K_BHaus_K_Ql</vt:lpstr>
      <vt:lpstr>s_K_BHaus_K_Sat</vt:lpstr>
      <vt:lpstr>s_K_BHaus_K_Sf</vt:lpstr>
      <vt:lpstr>s_K_BHaus_K_StBarhat</vt:lpstr>
      <vt:lpstr>s_K_BHaus_K_Vel</vt:lpstr>
      <vt:lpstr>s_K_EBrus_K_Atl</vt:lpstr>
      <vt:lpstr>s_K_EBrus_K_dachPr</vt:lpstr>
      <vt:lpstr>s_K_EBrus_K_dachSk</vt:lpstr>
      <vt:lpstr>s_K_EBrus_K_Dr</vt:lpstr>
      <vt:lpstr>s_K_EBrus_K_Pdx</vt:lpstr>
      <vt:lpstr>s_K_EBrus_K_Pdxmatt</vt:lpstr>
      <vt:lpstr>s_K_EBrus_K_Pe04</vt:lpstr>
      <vt:lpstr>s_K_EBrus_K_Pe045</vt:lpstr>
      <vt:lpstr>s_K_EBrus_K_Pe065</vt:lpstr>
      <vt:lpstr>s_K_EBrus_K_Pe07</vt:lpstr>
      <vt:lpstr>s_K_EBrus_K_Pe08</vt:lpstr>
      <vt:lpstr>s_K_EBrus_K_PEdp</vt:lpstr>
      <vt:lpstr>s_K_EBrus_K_Pt</vt:lpstr>
      <vt:lpstr>s_K_EBrus_K_Ptdach</vt:lpstr>
      <vt:lpstr>s_K_EBrus_K_Ptdp</vt:lpstr>
      <vt:lpstr>s_K_EBrus_K_PtNN</vt:lpstr>
      <vt:lpstr>s_K_EBrus_K_Pur</vt:lpstr>
      <vt:lpstr>s_K_EBrus_K_Q</vt:lpstr>
      <vt:lpstr>s_K_EBrus_K_Ql</vt:lpstr>
      <vt:lpstr>s_K_EBrus_K_Sat</vt:lpstr>
      <vt:lpstr>s_K_EBrus_K_Sf</vt:lpstr>
      <vt:lpstr>s_K_EBrus_K_StBarhat</vt:lpstr>
      <vt:lpstr>s_K_EBrus_K_Vel</vt:lpstr>
      <vt:lpstr>S_KDoska_Atl</vt:lpstr>
      <vt:lpstr>S_KDoska_dachPr</vt:lpstr>
      <vt:lpstr>S_KDoska_dachSk</vt:lpstr>
      <vt:lpstr>S_KDoska_Dr</vt:lpstr>
      <vt:lpstr>S_KDoska_K_Atl</vt:lpstr>
      <vt:lpstr>S_KDoska_K_dachPr</vt:lpstr>
      <vt:lpstr>S_KDoska_K_dachSk</vt:lpstr>
      <vt:lpstr>S_KDoska_K_Dr</vt:lpstr>
      <vt:lpstr>S_KDoska_K_Pdx</vt:lpstr>
      <vt:lpstr>S_KDoska_K_Pdxmatt</vt:lpstr>
      <vt:lpstr>S_KDoska_K_Pe04</vt:lpstr>
      <vt:lpstr>S_KDoska_K_Pe045</vt:lpstr>
      <vt:lpstr>S_KDoska_K_Pe065</vt:lpstr>
      <vt:lpstr>S_KDoska_K_Pe07</vt:lpstr>
      <vt:lpstr>S_KDoska_K_Pe08</vt:lpstr>
      <vt:lpstr>S_KDoska_K_PEdp</vt:lpstr>
      <vt:lpstr>S_KDoska_K_Pt</vt:lpstr>
      <vt:lpstr>S_KDoska_K_Ptdach</vt:lpstr>
      <vt:lpstr>S_KDoska_K_Ptdp</vt:lpstr>
      <vt:lpstr>S_KDoska_K_PtNN</vt:lpstr>
      <vt:lpstr>S_KDoska_K_Pur</vt:lpstr>
      <vt:lpstr>S_KDoska_K_Q</vt:lpstr>
      <vt:lpstr>S_KDoska_K_Ql</vt:lpstr>
      <vt:lpstr>S_KDoska_K_Sat</vt:lpstr>
      <vt:lpstr>S_KDoska_K_Sf</vt:lpstr>
      <vt:lpstr>S_KDoska_K_StBarhat</vt:lpstr>
      <vt:lpstr>S_KDoska_K_Vel</vt:lpstr>
      <vt:lpstr>S_KDoska_Pdx</vt:lpstr>
      <vt:lpstr>S_KDoska_Pdxmatt</vt:lpstr>
      <vt:lpstr>S_KDoska_Pe04</vt:lpstr>
      <vt:lpstr>S_KDoska_Pe045</vt:lpstr>
      <vt:lpstr>S_KDoska_Pe065</vt:lpstr>
      <vt:lpstr>S_KDoska_Pe07</vt:lpstr>
      <vt:lpstr>S_KDoska_Pe08</vt:lpstr>
      <vt:lpstr>S_KDoska_PEdp</vt:lpstr>
      <vt:lpstr>S_KDoska_Pt</vt:lpstr>
      <vt:lpstr>S_KDoska_Ptdach</vt:lpstr>
      <vt:lpstr>S_KDoska_Ptdp</vt:lpstr>
      <vt:lpstr>S_KDoska_PtNN</vt:lpstr>
      <vt:lpstr>S_KDoska_Pur</vt:lpstr>
      <vt:lpstr>S_KDoska_Q</vt:lpstr>
      <vt:lpstr>S_KDoska_Ql</vt:lpstr>
      <vt:lpstr>S_KDoska_Sat</vt:lpstr>
      <vt:lpstr>S_KDoska_Sf</vt:lpstr>
      <vt:lpstr>S_KDoska_StBarhat</vt:lpstr>
      <vt:lpstr>S_KDoska_Vel</vt:lpstr>
      <vt:lpstr>S_Vertikal_Atl</vt:lpstr>
      <vt:lpstr>S_Vertikal_dachPr</vt:lpstr>
      <vt:lpstr>S_Vertikal_dachSk</vt:lpstr>
      <vt:lpstr>S_Vertikal_Dr</vt:lpstr>
      <vt:lpstr>S_Vertikal_K_Atl</vt:lpstr>
      <vt:lpstr>S_Vertikal_K_dachPr</vt:lpstr>
      <vt:lpstr>S_Vertikal_K_dachSk</vt:lpstr>
      <vt:lpstr>S_Vertikal_K_Dr</vt:lpstr>
      <vt:lpstr>S_Vertikal_K_Pdx</vt:lpstr>
      <vt:lpstr>S_Vertikal_K_Pdxmatt</vt:lpstr>
      <vt:lpstr>S_Vertikal_K_Pe04</vt:lpstr>
      <vt:lpstr>S_Vertikal_K_Pe045</vt:lpstr>
      <vt:lpstr>S_Vertikal_K_Pe065</vt:lpstr>
      <vt:lpstr>S_Vertikal_K_Pe07</vt:lpstr>
      <vt:lpstr>S_Vertikal_K_Pe08</vt:lpstr>
      <vt:lpstr>S_Vertikal_K_PEdp</vt:lpstr>
      <vt:lpstr>S_Vertikal_K_Pt</vt:lpstr>
      <vt:lpstr>S_Vertikal_K_Ptdach</vt:lpstr>
      <vt:lpstr>S_Vertikal_K_Ptdp</vt:lpstr>
      <vt:lpstr>S_Vertikal_K_PtNN</vt:lpstr>
      <vt:lpstr>S_Vertikal_K_Pur</vt:lpstr>
      <vt:lpstr>S_Vertikal_K_Q</vt:lpstr>
      <vt:lpstr>S_Vertikal_K_Ql</vt:lpstr>
      <vt:lpstr>S_Vertikal_K_Sat</vt:lpstr>
      <vt:lpstr>S_Vertikal_K_Sf</vt:lpstr>
      <vt:lpstr>S_Vertikal_K_StBarhat</vt:lpstr>
      <vt:lpstr>S_Vertikal_K_Vel</vt:lpstr>
      <vt:lpstr>S_Vertikal_Pdx</vt:lpstr>
      <vt:lpstr>S_Vertikal_Pdxmatt</vt:lpstr>
      <vt:lpstr>S_Vertikal_Pe04</vt:lpstr>
      <vt:lpstr>S_Vertikal_Pe045</vt:lpstr>
      <vt:lpstr>S_Vertikal_Pe065</vt:lpstr>
      <vt:lpstr>S_Vertikal_Pe07</vt:lpstr>
      <vt:lpstr>S_Vertikal_Pe08</vt:lpstr>
      <vt:lpstr>S_Vertikal_PEdp</vt:lpstr>
      <vt:lpstr>S_Vertikal_Pt</vt:lpstr>
      <vt:lpstr>S_Vertikal_Ptdach</vt:lpstr>
      <vt:lpstr>S_Vertikal_Ptdp</vt:lpstr>
      <vt:lpstr>S_Vertikal_PtNN</vt:lpstr>
      <vt:lpstr>S_Vertikal_Pur</vt:lpstr>
      <vt:lpstr>S_Vertikal_Q</vt:lpstr>
      <vt:lpstr>S_Vertikal_Ql</vt:lpstr>
      <vt:lpstr>S_Vertikal_Sat</vt:lpstr>
      <vt:lpstr>S_Vertikal_Sf</vt:lpstr>
      <vt:lpstr>S_Vertikal_StBarhat</vt:lpstr>
      <vt:lpstr>S_Vertikal_Vel</vt:lpstr>
      <vt:lpstr>Shtaket_Kr_Atl</vt:lpstr>
      <vt:lpstr>Shtaket_Kr_dachPr</vt:lpstr>
      <vt:lpstr>Shtaket_Kr_dachSk</vt:lpstr>
      <vt:lpstr>Shtaket_Kr_Dr</vt:lpstr>
      <vt:lpstr>Shtaket_Kr_K_Atl</vt:lpstr>
      <vt:lpstr>Shtaket_Kr_K_dachPr</vt:lpstr>
      <vt:lpstr>Shtaket_Kr_K_dachSk</vt:lpstr>
      <vt:lpstr>Shtaket_Kr_K_Dr</vt:lpstr>
      <vt:lpstr>Shtaket_Kr_K_Pdx</vt:lpstr>
      <vt:lpstr>Shtaket_Kr_K_Pdxmatt</vt:lpstr>
      <vt:lpstr>Shtaket_Kr_K_Pe04</vt:lpstr>
      <vt:lpstr>Shtaket_Kr_K_Pe045</vt:lpstr>
      <vt:lpstr>Shtaket_Kr_K_Pe065</vt:lpstr>
      <vt:lpstr>Shtaket_Kr_K_Pe07</vt:lpstr>
      <vt:lpstr>Shtaket_Kr_K_Pe08</vt:lpstr>
      <vt:lpstr>Shtaket_Kr_K_PEdp</vt:lpstr>
      <vt:lpstr>Shtaket_Kr_K_Pt</vt:lpstr>
      <vt:lpstr>Shtaket_Kr_K_Ptdach</vt:lpstr>
      <vt:lpstr>Shtaket_Kr_K_Ptdp</vt:lpstr>
      <vt:lpstr>Shtaket_Kr_K_PtNN</vt:lpstr>
      <vt:lpstr>Shtaket_Kr_K_Pur</vt:lpstr>
      <vt:lpstr>Shtaket_Kr_K_Q</vt:lpstr>
      <vt:lpstr>Shtaket_Kr_K_Ql</vt:lpstr>
      <vt:lpstr>Shtaket_Kr_K_Sat</vt:lpstr>
      <vt:lpstr>Shtaket_Kr_K_Sf</vt:lpstr>
      <vt:lpstr>Shtaket_Kr_K_StBarhat</vt:lpstr>
      <vt:lpstr>Shtaket_Kr_K_Vel</vt:lpstr>
      <vt:lpstr>Shtaket_Kr_Pdx</vt:lpstr>
      <vt:lpstr>Shtaket_Kr_Pdxmatt</vt:lpstr>
      <vt:lpstr>Shtaket_Kr_Pe04</vt:lpstr>
      <vt:lpstr>Shtaket_Kr_Pe045</vt:lpstr>
      <vt:lpstr>Shtaket_Kr_Pe065</vt:lpstr>
      <vt:lpstr>Shtaket_Kr_Pe07</vt:lpstr>
      <vt:lpstr>Shtaket_Kr_Pe08</vt:lpstr>
      <vt:lpstr>Shtaket_Kr_PEdp</vt:lpstr>
      <vt:lpstr>Shtaket_Kr_Pt</vt:lpstr>
      <vt:lpstr>Shtaket_Kr_Ptdach</vt:lpstr>
      <vt:lpstr>Shtaket_Kr_Ptdp</vt:lpstr>
      <vt:lpstr>Shtaket_Kr_PtNN</vt:lpstr>
      <vt:lpstr>Shtaket_Kr_Pur</vt:lpstr>
      <vt:lpstr>Shtaket_Kr_Q</vt:lpstr>
      <vt:lpstr>Shtaket_Kr_Ql</vt:lpstr>
      <vt:lpstr>Shtaket_Kr_Sat</vt:lpstr>
      <vt:lpstr>Shtaket_Kr_Sf</vt:lpstr>
      <vt:lpstr>Shtaket_Kr_StBarhat</vt:lpstr>
      <vt:lpstr>Shtaket_Kr_Vel</vt:lpstr>
      <vt:lpstr>Shtaket_Krf_Atl</vt:lpstr>
      <vt:lpstr>Shtaket_Krf_dachPr</vt:lpstr>
      <vt:lpstr>Shtaket_Krf_dachSk</vt:lpstr>
      <vt:lpstr>Shtaket_Krf_Dr</vt:lpstr>
      <vt:lpstr>Shtaket_Krf_K_Atl</vt:lpstr>
      <vt:lpstr>Shtaket_Krf_K_dachPr</vt:lpstr>
      <vt:lpstr>Shtaket_Krf_K_dachSk</vt:lpstr>
      <vt:lpstr>Shtaket_Krf_K_Dr</vt:lpstr>
      <vt:lpstr>Shtaket_Krf_K_Pdx</vt:lpstr>
      <vt:lpstr>Shtaket_Krf_K_Pdxmatt</vt:lpstr>
      <vt:lpstr>Shtaket_Krf_K_Pe04</vt:lpstr>
      <vt:lpstr>Shtaket_Krf_K_Pe045</vt:lpstr>
      <vt:lpstr>Shtaket_Krf_K_Pe065</vt:lpstr>
      <vt:lpstr>Shtaket_Krf_K_Pe07</vt:lpstr>
      <vt:lpstr>Shtaket_Krf_K_Pe08</vt:lpstr>
      <vt:lpstr>Shtaket_Krf_K_PEdp</vt:lpstr>
      <vt:lpstr>Shtaket_Krf_K_Pt</vt:lpstr>
      <vt:lpstr>Shtaket_Krf_K_Ptdach</vt:lpstr>
      <vt:lpstr>Shtaket_Krf_K_Ptdp</vt:lpstr>
      <vt:lpstr>Shtaket_Krf_K_PtNN</vt:lpstr>
      <vt:lpstr>Shtaket_Krf_K_Pur</vt:lpstr>
      <vt:lpstr>Shtaket_Krf_K_Q</vt:lpstr>
      <vt:lpstr>Shtaket_Krf_K_Ql</vt:lpstr>
      <vt:lpstr>Shtaket_Krf_K_Sat</vt:lpstr>
      <vt:lpstr>Shtaket_Krf_K_Sf</vt:lpstr>
      <vt:lpstr>Shtaket_Krf_K_StBarhat</vt:lpstr>
      <vt:lpstr>Shtaket_Krf_K_Vel</vt:lpstr>
      <vt:lpstr>Shtaket_Krf_Pdx</vt:lpstr>
      <vt:lpstr>Shtaket_Krf_Pdxmatt</vt:lpstr>
      <vt:lpstr>Shtaket_Krf_Pe04</vt:lpstr>
      <vt:lpstr>Shtaket_Krf_Pe045</vt:lpstr>
      <vt:lpstr>Shtaket_Krf_Pe065</vt:lpstr>
      <vt:lpstr>Shtaket_Krf_Pe07</vt:lpstr>
      <vt:lpstr>Shtaket_Krf_Pe08</vt:lpstr>
      <vt:lpstr>Shtaket_Krf_PEdp</vt:lpstr>
      <vt:lpstr>Shtaket_Krf_Pt</vt:lpstr>
      <vt:lpstr>Shtaket_Krf_Ptdach</vt:lpstr>
      <vt:lpstr>Shtaket_Krf_Ptdp</vt:lpstr>
      <vt:lpstr>Shtaket_Krf_PtNN</vt:lpstr>
      <vt:lpstr>Shtaket_Krf_Pur</vt:lpstr>
      <vt:lpstr>Shtaket_Krf_Q</vt:lpstr>
      <vt:lpstr>Shtaket_Krf_Ql</vt:lpstr>
      <vt:lpstr>Shtaket_Krf_Sat</vt:lpstr>
      <vt:lpstr>Shtaket_Krf_Sf</vt:lpstr>
      <vt:lpstr>Shtaket_Krf_StBarhat</vt:lpstr>
      <vt:lpstr>Shtaket_Krf_Vel</vt:lpstr>
      <vt:lpstr>Shtaket_MP_Atl</vt:lpstr>
      <vt:lpstr>Shtaket_MP_dachPr</vt:lpstr>
      <vt:lpstr>Shtaket_MP_dachSk</vt:lpstr>
      <vt:lpstr>Shtaket_MP_Dr</vt:lpstr>
      <vt:lpstr>Shtaket_MP_K_Atl</vt:lpstr>
      <vt:lpstr>Shtaket_MP_K_dachPr</vt:lpstr>
      <vt:lpstr>Shtaket_MP_K_dachSk</vt:lpstr>
      <vt:lpstr>Shtaket_MP_K_Dr</vt:lpstr>
      <vt:lpstr>Shtaket_MP_K_Pdx</vt:lpstr>
      <vt:lpstr>Shtaket_MP_K_Pdxmatt</vt:lpstr>
      <vt:lpstr>Shtaket_MP_K_Pe04</vt:lpstr>
      <vt:lpstr>Shtaket_MP_K_Pe045</vt:lpstr>
      <vt:lpstr>Shtaket_MP_K_Pe065</vt:lpstr>
      <vt:lpstr>Shtaket_MP_K_Pe07</vt:lpstr>
      <vt:lpstr>Shtaket_MP_K_Pe08</vt:lpstr>
      <vt:lpstr>Shtaket_MP_K_PEdp</vt:lpstr>
      <vt:lpstr>Shtaket_MP_K_Pt</vt:lpstr>
      <vt:lpstr>Shtaket_MP_K_Ptdach</vt:lpstr>
      <vt:lpstr>Shtaket_MP_K_Ptdp</vt:lpstr>
      <vt:lpstr>Shtaket_MP_K_PtNN</vt:lpstr>
      <vt:lpstr>Shtaket_MP_K_Pur</vt:lpstr>
      <vt:lpstr>Shtaket_MP_K_Q</vt:lpstr>
      <vt:lpstr>Shtaket_MP_K_Ql</vt:lpstr>
      <vt:lpstr>Shtaket_MP_K_Sat</vt:lpstr>
      <vt:lpstr>Shtaket_MP_K_Sf</vt:lpstr>
      <vt:lpstr>Shtaket_MP_K_StBarhat</vt:lpstr>
      <vt:lpstr>Shtaket_MP_K_Vel</vt:lpstr>
      <vt:lpstr>Shtaket_MP_Pdx</vt:lpstr>
      <vt:lpstr>Shtaket_MP_Pdxmatt</vt:lpstr>
      <vt:lpstr>Shtaket_MP_Pe04</vt:lpstr>
      <vt:lpstr>Shtaket_MP_Pe045</vt:lpstr>
      <vt:lpstr>Shtaket_MP_Pe065</vt:lpstr>
      <vt:lpstr>Shtaket_MP_Pe07</vt:lpstr>
      <vt:lpstr>Shtaket_MP_Pe08</vt:lpstr>
      <vt:lpstr>Shtaket_MP_PEdp</vt:lpstr>
      <vt:lpstr>Shtaket_MP_Pt</vt:lpstr>
      <vt:lpstr>Shtaket_MP_Ptdach</vt:lpstr>
      <vt:lpstr>Shtaket_MP_Ptdp</vt:lpstr>
      <vt:lpstr>Shtaket_MP_PtNN</vt:lpstr>
      <vt:lpstr>Shtaket_MP_Pur</vt:lpstr>
      <vt:lpstr>Shtaket_MP_Q</vt:lpstr>
      <vt:lpstr>Shtaket_MP_Ql</vt:lpstr>
      <vt:lpstr>Shtaket_MP_Sat</vt:lpstr>
      <vt:lpstr>Shtaket_MP_Sf</vt:lpstr>
      <vt:lpstr>Shtaket_MP_StBarhat</vt:lpstr>
      <vt:lpstr>Shtaket_MP_Vel</vt:lpstr>
      <vt:lpstr>Shtaket_MPf_Atl</vt:lpstr>
      <vt:lpstr>Shtaket_MPf_dachPr</vt:lpstr>
      <vt:lpstr>Shtaket_MPf_dachSk</vt:lpstr>
      <vt:lpstr>Shtaket_MPf_Dr</vt:lpstr>
      <vt:lpstr>Shtaket_MPf_K_Atl</vt:lpstr>
      <vt:lpstr>Shtaket_MPf_K_dachPr</vt:lpstr>
      <vt:lpstr>Shtaket_MPf_K_dachSk</vt:lpstr>
      <vt:lpstr>Shtaket_MPf_K_Dr</vt:lpstr>
      <vt:lpstr>Shtaket_MPf_K_Pdx</vt:lpstr>
      <vt:lpstr>Shtaket_MPf_K_Pdxmatt</vt:lpstr>
      <vt:lpstr>Shtaket_MPf_K_Pe04</vt:lpstr>
      <vt:lpstr>Shtaket_MPf_K_Pe045</vt:lpstr>
      <vt:lpstr>Shtaket_MPf_K_Pe065</vt:lpstr>
      <vt:lpstr>Shtaket_MPf_K_Pe07</vt:lpstr>
      <vt:lpstr>Shtaket_MPf_K_Pe08</vt:lpstr>
      <vt:lpstr>Shtaket_MPf_K_PEdp</vt:lpstr>
      <vt:lpstr>Shtaket_MPf_K_Pt</vt:lpstr>
      <vt:lpstr>Shtaket_MPf_K_Ptdach</vt:lpstr>
      <vt:lpstr>Shtaket_MPf_K_Ptdp</vt:lpstr>
      <vt:lpstr>Shtaket_MPf_K_PtNN</vt:lpstr>
      <vt:lpstr>Shtaket_MPf_K_Pur</vt:lpstr>
      <vt:lpstr>Shtaket_MPf_K_Q</vt:lpstr>
      <vt:lpstr>Shtaket_MPf_K_Ql</vt:lpstr>
      <vt:lpstr>Shtaket_MPf_K_Sat</vt:lpstr>
      <vt:lpstr>Shtaket_MPf_K_Sf</vt:lpstr>
      <vt:lpstr>Shtaket_MPf_K_StBarhat</vt:lpstr>
      <vt:lpstr>Shtaket_MPf_K_Vel</vt:lpstr>
      <vt:lpstr>Shtaket_MPf_Pdx</vt:lpstr>
      <vt:lpstr>Shtaket_MPf_Pdxmatt</vt:lpstr>
      <vt:lpstr>Shtaket_MPf_Pe04</vt:lpstr>
      <vt:lpstr>Shtaket_MPf_Pe045</vt:lpstr>
      <vt:lpstr>Shtaket_MPf_Pe065</vt:lpstr>
      <vt:lpstr>Shtaket_MPf_Pe07</vt:lpstr>
      <vt:lpstr>Shtaket_MPf_Pe08</vt:lpstr>
      <vt:lpstr>Shtaket_MPf_PEdp</vt:lpstr>
      <vt:lpstr>Shtaket_MPf_Pt</vt:lpstr>
      <vt:lpstr>Shtaket_MPf_Ptdach</vt:lpstr>
      <vt:lpstr>Shtaket_MPf_Ptdp</vt:lpstr>
      <vt:lpstr>Shtaket_MPf_PtNN</vt:lpstr>
      <vt:lpstr>Shtaket_MPf_Pur</vt:lpstr>
      <vt:lpstr>Shtaket_MPf_Q</vt:lpstr>
      <vt:lpstr>Shtaket_MPf_Ql</vt:lpstr>
      <vt:lpstr>Shtaket_MPf_Sat</vt:lpstr>
      <vt:lpstr>Shtaket_MPf_Sf</vt:lpstr>
      <vt:lpstr>Shtaket_MPf_StBarhat</vt:lpstr>
      <vt:lpstr>Shtaket_MPf_Vel</vt:lpstr>
      <vt:lpstr>Shtaket_Pr_Atl</vt:lpstr>
      <vt:lpstr>Shtaket_Pr_dachPr</vt:lpstr>
      <vt:lpstr>Shtaket_Pr_dachSk</vt:lpstr>
      <vt:lpstr>Shtaket_Pr_Dr</vt:lpstr>
      <vt:lpstr>Shtaket_Pr_K_Atl</vt:lpstr>
      <vt:lpstr>Shtaket_Pr_K_dachPr</vt:lpstr>
      <vt:lpstr>Shtaket_Pr_K_dachSk</vt:lpstr>
      <vt:lpstr>Shtaket_Pr_K_Dr</vt:lpstr>
      <vt:lpstr>Shtaket_Pr_K_Pdx</vt:lpstr>
      <vt:lpstr>Shtaket_Pr_K_Pdxmatt</vt:lpstr>
      <vt:lpstr>Shtaket_Pr_K_Pe04</vt:lpstr>
      <vt:lpstr>Shtaket_Pr_K_Pe045</vt:lpstr>
      <vt:lpstr>Shtaket_Pr_K_Pe065</vt:lpstr>
      <vt:lpstr>Shtaket_Pr_K_Pe07</vt:lpstr>
      <vt:lpstr>Shtaket_Pr_K_Pe08</vt:lpstr>
      <vt:lpstr>Shtaket_Pr_K_PEdp</vt:lpstr>
      <vt:lpstr>Shtaket_Pr_K_Pt</vt:lpstr>
      <vt:lpstr>Shtaket_Pr_K_Ptdach</vt:lpstr>
      <vt:lpstr>Shtaket_Pr_K_Ptdp</vt:lpstr>
      <vt:lpstr>Shtaket_Pr_K_PtNN</vt:lpstr>
      <vt:lpstr>Shtaket_Pr_K_Pur</vt:lpstr>
      <vt:lpstr>Shtaket_Pr_K_Q</vt:lpstr>
      <vt:lpstr>Shtaket_Pr_K_Ql</vt:lpstr>
      <vt:lpstr>Shtaket_Pr_K_Sat</vt:lpstr>
      <vt:lpstr>Shtaket_Pr_K_Sf</vt:lpstr>
      <vt:lpstr>Shtaket_Pr_K_StBarhat</vt:lpstr>
      <vt:lpstr>Shtaket_Pr_K_Vel</vt:lpstr>
      <vt:lpstr>Shtaket_Pr_Pdx</vt:lpstr>
      <vt:lpstr>Shtaket_Pr_Pdxmatt</vt:lpstr>
      <vt:lpstr>Shtaket_Pr_Pe04</vt:lpstr>
      <vt:lpstr>Shtaket_Pr_Pe045</vt:lpstr>
      <vt:lpstr>Shtaket_Pr_Pe065</vt:lpstr>
      <vt:lpstr>Shtaket_Pr_Pe07</vt:lpstr>
      <vt:lpstr>Shtaket_Pr_Pe08</vt:lpstr>
      <vt:lpstr>Shtaket_Pr_PEdp</vt:lpstr>
      <vt:lpstr>Shtaket_Pr_Pt</vt:lpstr>
      <vt:lpstr>Shtaket_Pr_Ptdach</vt:lpstr>
      <vt:lpstr>Shtaket_Pr_Ptdp</vt:lpstr>
      <vt:lpstr>Shtaket_Pr_PtNN</vt:lpstr>
      <vt:lpstr>Shtaket_Pr_Pur</vt:lpstr>
      <vt:lpstr>Shtaket_Pr_Q</vt:lpstr>
      <vt:lpstr>Shtaket_Pr_Ql</vt:lpstr>
      <vt:lpstr>Shtaket_Pr_Sat</vt:lpstr>
      <vt:lpstr>Shtaket_Pr_Sf</vt:lpstr>
      <vt:lpstr>Shtaket_Pr_StBarhat</vt:lpstr>
      <vt:lpstr>Shtaket_Pr_Vel</vt:lpstr>
      <vt:lpstr>Shtaket_Prf_Atl</vt:lpstr>
      <vt:lpstr>Shtaket_Prf_dachPr</vt:lpstr>
      <vt:lpstr>Shtaket_Prf_dachSk</vt:lpstr>
      <vt:lpstr>Shtaket_Prf_Dr</vt:lpstr>
      <vt:lpstr>Shtaket_Prf_K_Atl</vt:lpstr>
      <vt:lpstr>Shtaket_Prf_K_dachPr</vt:lpstr>
      <vt:lpstr>Shtaket_Prf_K_dachSk</vt:lpstr>
      <vt:lpstr>Shtaket_Prf_K_Dr</vt:lpstr>
      <vt:lpstr>Shtaket_Prf_K_Pdx</vt:lpstr>
      <vt:lpstr>Shtaket_Prf_K_Pdxmatt</vt:lpstr>
      <vt:lpstr>Shtaket_Prf_K_Pe04</vt:lpstr>
      <vt:lpstr>Shtaket_Prf_K_Pe045</vt:lpstr>
      <vt:lpstr>Shtaket_Prf_K_Pe065</vt:lpstr>
      <vt:lpstr>Shtaket_Prf_K_Pe07</vt:lpstr>
      <vt:lpstr>Shtaket_Prf_K_Pe08</vt:lpstr>
      <vt:lpstr>Shtaket_Prf_K_PEdp</vt:lpstr>
      <vt:lpstr>Shtaket_Prf_K_Pt</vt:lpstr>
      <vt:lpstr>Shtaket_Prf_K_Ptdach</vt:lpstr>
      <vt:lpstr>Shtaket_Prf_K_Ptdp</vt:lpstr>
      <vt:lpstr>Shtaket_Prf_K_PtNN</vt:lpstr>
      <vt:lpstr>Shtaket_Prf_K_Pur</vt:lpstr>
      <vt:lpstr>Shtaket_Prf_K_Q</vt:lpstr>
      <vt:lpstr>Shtaket_Prf_K_Ql</vt:lpstr>
      <vt:lpstr>Shtaket_Prf_K_Sat</vt:lpstr>
      <vt:lpstr>Shtaket_Prf_K_Sf</vt:lpstr>
      <vt:lpstr>Shtaket_Prf_K_StBarhat</vt:lpstr>
      <vt:lpstr>Shtaket_Prf_K_Vel</vt:lpstr>
      <vt:lpstr>Shtaket_Prf_Pdx</vt:lpstr>
      <vt:lpstr>Shtaket_Prf_Pdxmatt</vt:lpstr>
      <vt:lpstr>Shtaket_Prf_Pe04</vt:lpstr>
      <vt:lpstr>Shtaket_Prf_Pe045</vt:lpstr>
      <vt:lpstr>Shtaket_Prf_Pe065</vt:lpstr>
      <vt:lpstr>Shtaket_Prf_Pe07</vt:lpstr>
      <vt:lpstr>Shtaket_Prf_Pe08</vt:lpstr>
      <vt:lpstr>Shtaket_Prf_PEdp</vt:lpstr>
      <vt:lpstr>Shtaket_Prf_Pt</vt:lpstr>
      <vt:lpstr>Shtaket_Prf_Ptdach</vt:lpstr>
      <vt:lpstr>Shtaket_Prf_Ptdp</vt:lpstr>
      <vt:lpstr>Shtaket_Prf_PtNN</vt:lpstr>
      <vt:lpstr>Shtaket_Prf_Pur</vt:lpstr>
      <vt:lpstr>Shtaket_Prf_Q</vt:lpstr>
      <vt:lpstr>Shtaket_Prf_Ql</vt:lpstr>
      <vt:lpstr>Shtaket_Prf_Sat</vt:lpstr>
      <vt:lpstr>Shtaket_Prf_Sf</vt:lpstr>
      <vt:lpstr>Shtaket_Prf_StBarhat</vt:lpstr>
      <vt:lpstr>Shtaket_Prf_Vel</vt:lpstr>
      <vt:lpstr>ShtripsFalz_Atl</vt:lpstr>
      <vt:lpstr>ShtripsFalz_dachPr</vt:lpstr>
      <vt:lpstr>ShtripsFalz_dachSk</vt:lpstr>
      <vt:lpstr>ShtripsFalz_Dr</vt:lpstr>
      <vt:lpstr>ShtripsFalz_K_Atl</vt:lpstr>
      <vt:lpstr>ShtripsFalz_K_dachPr</vt:lpstr>
      <vt:lpstr>ShtripsFalz_K_dachSk</vt:lpstr>
      <vt:lpstr>ShtripsFalz_K_Dr</vt:lpstr>
      <vt:lpstr>ShtripsFalz_K_Pdx</vt:lpstr>
      <vt:lpstr>ShtripsFalz_K_Pdxmatt</vt:lpstr>
      <vt:lpstr>ShtripsFalz_K_Pe04</vt:lpstr>
      <vt:lpstr>ShtripsFalz_K_Pe045</vt:lpstr>
      <vt:lpstr>ShtripsFalz_K_Pe065</vt:lpstr>
      <vt:lpstr>ShtripsFalz_K_Pe07</vt:lpstr>
      <vt:lpstr>ShtripsFalz_K_Pe08</vt:lpstr>
      <vt:lpstr>ShtripsFalz_K_PEdp</vt:lpstr>
      <vt:lpstr>ShtripsFalz_K_Pt</vt:lpstr>
      <vt:lpstr>ShtripsFalz_K_Ptdach</vt:lpstr>
      <vt:lpstr>ShtripsFalz_K_Ptdp</vt:lpstr>
      <vt:lpstr>ShtripsFalz_K_PtNN</vt:lpstr>
      <vt:lpstr>ShtripsFalz_K_Pur</vt:lpstr>
      <vt:lpstr>ShtripsFalz_K_Q</vt:lpstr>
      <vt:lpstr>ShtripsFalz_K_Ql</vt:lpstr>
      <vt:lpstr>ShtripsFalz_K_Sat</vt:lpstr>
      <vt:lpstr>ShtripsFalz_K_Sf</vt:lpstr>
      <vt:lpstr>ShtripsFalz_K_StBarhat</vt:lpstr>
      <vt:lpstr>ShtripsFalz_K_Vel</vt:lpstr>
      <vt:lpstr>ShtripsFalz_K_Zn035</vt:lpstr>
      <vt:lpstr>ShtripsFalz_K_Zn04</vt:lpstr>
      <vt:lpstr>ShtripsFalz_K_Zn045</vt:lpstr>
      <vt:lpstr>ShtripsFalz_K_Zn05</vt:lpstr>
      <vt:lpstr>ShtripsFalz_K_Zn055</vt:lpstr>
      <vt:lpstr>ShtripsFalz_K_Zn07</vt:lpstr>
      <vt:lpstr>ShtripsFalz_K_Zn08</vt:lpstr>
      <vt:lpstr>ShtripsFalz_K_Zn09</vt:lpstr>
      <vt:lpstr>ShtripsFalz_Pdx</vt:lpstr>
      <vt:lpstr>ShtripsFalz_Pdxmatt</vt:lpstr>
      <vt:lpstr>ShtripsFalz_Pe04</vt:lpstr>
      <vt:lpstr>ShtripsFalz_Pe045</vt:lpstr>
      <vt:lpstr>ShtripsFalz_Pe065</vt:lpstr>
      <vt:lpstr>ShtripsFalz_Pe07</vt:lpstr>
      <vt:lpstr>ShtripsFalz_Pe08</vt:lpstr>
      <vt:lpstr>ShtripsFalz_PEdp</vt:lpstr>
      <vt:lpstr>ShtripsFalz_Pt</vt:lpstr>
      <vt:lpstr>ShtripsFalz_Ptdach</vt:lpstr>
      <vt:lpstr>ShtripsFalz_Ptdp</vt:lpstr>
      <vt:lpstr>ShtripsFalz_PtNN</vt:lpstr>
      <vt:lpstr>ShtripsFalz_Pur</vt:lpstr>
      <vt:lpstr>ShtripsFalz_Q</vt:lpstr>
      <vt:lpstr>ShtripsFalz_Ql</vt:lpstr>
      <vt:lpstr>ShtripsFalz_Sat</vt:lpstr>
      <vt:lpstr>ShtripsFalz_Sf</vt:lpstr>
      <vt:lpstr>ShtripsFalz_StBarhat</vt:lpstr>
      <vt:lpstr>ShtripsFalz_Vel</vt:lpstr>
      <vt:lpstr>ShtripsFalz_Zn035</vt:lpstr>
      <vt:lpstr>ShtripsFalz_Zn04</vt:lpstr>
      <vt:lpstr>ShtripsFalz_Zn045</vt:lpstr>
      <vt:lpstr>ShtripsFalz_Zn05</vt:lpstr>
      <vt:lpstr>ShtripsFalz_Zn055</vt:lpstr>
      <vt:lpstr>ShtripsFalz_Zn07</vt:lpstr>
      <vt:lpstr>ShtripsFalz_Zn08</vt:lpstr>
      <vt:lpstr>ShtripsFalz_Zn09</vt:lpstr>
      <vt:lpstr>Sofit_Atl</vt:lpstr>
      <vt:lpstr>Sofit_dachPr</vt:lpstr>
      <vt:lpstr>Sofit_dachSk</vt:lpstr>
      <vt:lpstr>Sofit_Dr</vt:lpstr>
      <vt:lpstr>Sofit_K_Atl</vt:lpstr>
      <vt:lpstr>Sofit_K_dachPr</vt:lpstr>
      <vt:lpstr>Sofit_K_dachSk</vt:lpstr>
      <vt:lpstr>Sofit_K_Dr</vt:lpstr>
      <vt:lpstr>Sofit_K_Pdx</vt:lpstr>
      <vt:lpstr>Sofit_K_Pdxmatt</vt:lpstr>
      <vt:lpstr>Sofit_K_Pe04</vt:lpstr>
      <vt:lpstr>Sofit_K_Pe045</vt:lpstr>
      <vt:lpstr>Sofit_K_Pe065</vt:lpstr>
      <vt:lpstr>Sofit_K_Pe07</vt:lpstr>
      <vt:lpstr>Sofit_K_Pe08</vt:lpstr>
      <vt:lpstr>Sofit_K_PEdp</vt:lpstr>
      <vt:lpstr>Sofit_K_Pt</vt:lpstr>
      <vt:lpstr>Sofit_K_Ptdach</vt:lpstr>
      <vt:lpstr>Sofit_K_Ptdp</vt:lpstr>
      <vt:lpstr>Sofit_K_PtNN</vt:lpstr>
      <vt:lpstr>Sofit_K_Pur</vt:lpstr>
      <vt:lpstr>Sofit_K_Q</vt:lpstr>
      <vt:lpstr>Sofit_K_Ql</vt:lpstr>
      <vt:lpstr>Sofit_K_Sat</vt:lpstr>
      <vt:lpstr>Sofit_K_Sf</vt:lpstr>
      <vt:lpstr>Sofit_K_StBarhat</vt:lpstr>
      <vt:lpstr>Sofit_K_Vel</vt:lpstr>
      <vt:lpstr>Sofit_Pdx</vt:lpstr>
      <vt:lpstr>Sofit_Pdxmatt</vt:lpstr>
      <vt:lpstr>Sofit_Pe04</vt:lpstr>
      <vt:lpstr>Sofit_Pe045</vt:lpstr>
      <vt:lpstr>Sofit_Pe065</vt:lpstr>
      <vt:lpstr>Sofit_Pe07</vt:lpstr>
      <vt:lpstr>Sofit_Pe08</vt:lpstr>
      <vt:lpstr>Sofit_PEdp</vt:lpstr>
      <vt:lpstr>Sofit_Pt</vt:lpstr>
      <vt:lpstr>Sofit_Ptdach</vt:lpstr>
      <vt:lpstr>Sofit_Ptdp</vt:lpstr>
      <vt:lpstr>Sofit_PtNN</vt:lpstr>
      <vt:lpstr>Sofit_Pur</vt:lpstr>
      <vt:lpstr>Sofit_Q</vt:lpstr>
      <vt:lpstr>Sofit_Ql</vt:lpstr>
      <vt:lpstr>Sofit_Sat</vt:lpstr>
      <vt:lpstr>Sofit_Sf</vt:lpstr>
      <vt:lpstr>Sofit_StBarhat</vt:lpstr>
      <vt:lpstr>Sofit_Vel</vt:lpstr>
      <vt:lpstr>'1_1_КРОВЛЯ'!Область_печати</vt:lpstr>
      <vt:lpstr>'1_10_Черепица Metrotile'!Область_печати</vt:lpstr>
      <vt:lpstr>'1_11_ЦПЧ и Керамика'!Область_печати</vt:lpstr>
      <vt:lpstr>'1_12_Водосток GL'!Область_печати</vt:lpstr>
      <vt:lpstr>'1_13_Водосток Optima'!Область_печати</vt:lpstr>
      <vt:lpstr>'1_14_Водосток ПВХ GL Standart'!Область_печати</vt:lpstr>
      <vt:lpstr>'1_15_ЭБК GL'!Область_печати</vt:lpstr>
      <vt:lpstr>'1_16_ЭБК Optima'!Область_печати</vt:lpstr>
      <vt:lpstr>'1_17_Vilpe'!Область_печати</vt:lpstr>
      <vt:lpstr>'1_18_Krovent и ТехноНиколь'!Область_печати</vt:lpstr>
      <vt:lpstr>'1_19_Проходки MasterFlash'!Область_печати</vt:lpstr>
      <vt:lpstr>'1_2_Доборные элементы кровли'!Область_печати</vt:lpstr>
      <vt:lpstr>'1_20_Дымоходы Ferrum'!Область_печати</vt:lpstr>
      <vt:lpstr>'1_21_Fakro'!Область_печати</vt:lpstr>
      <vt:lpstr>'1_22_VELUX OPTIMA'!Область_печати</vt:lpstr>
      <vt:lpstr>'1_23_VELUX PREMIUM'!Область_печати</vt:lpstr>
      <vt:lpstr>'1_24_Флюгеры'!Область_печати</vt:lpstr>
      <vt:lpstr>'1_25_Дымники и колпаки на заказ'!Область_печати</vt:lpstr>
      <vt:lpstr>'1_3_ФАЛЬЦ'!Область_печати</vt:lpstr>
      <vt:lpstr>'1_4_Мягкая кровля'!Область_печати</vt:lpstr>
      <vt:lpstr>'1_5_Мягкая кровля 2'!Область_печати</vt:lpstr>
      <vt:lpstr>'1_6_Битумные материалы'!Область_печати</vt:lpstr>
      <vt:lpstr>'1_7_Композит черепица GL'!Область_печати</vt:lpstr>
      <vt:lpstr>'1_8_Композит черепица Decra'!Область_печати</vt:lpstr>
      <vt:lpstr>'1_9_Черепица Luxard'!Область_печати</vt:lpstr>
      <vt:lpstr>'2_1_ЦИНК'!Область_печати</vt:lpstr>
      <vt:lpstr>'3_1_ФАСАД'!Область_печати</vt:lpstr>
      <vt:lpstr>'3_2_Доборные элементы Фасад'!Область_печати</vt:lpstr>
      <vt:lpstr>'3_3_Виниловый сайдинг'!Область_печати</vt:lpstr>
      <vt:lpstr>'3_4_Декор эл-ты Mid-America'!Область_печати</vt:lpstr>
      <vt:lpstr>'3_5_Фасадные панели GL'!Область_печати</vt:lpstr>
      <vt:lpstr>'3_6_Фасадные панели'!Область_печати</vt:lpstr>
      <vt:lpstr>'3_7_Фиброцементный сайдинг'!Область_печати</vt:lpstr>
      <vt:lpstr>'3_8_ГК-профиль'!Область_печати</vt:lpstr>
      <vt:lpstr>'3_9_Навесная фасадная система'!Область_печати</vt:lpstr>
      <vt:lpstr>'4_1_ЗАБОРЫ'!Область_печати</vt:lpstr>
      <vt:lpstr>'4_2_Панельные ограждения'!Область_печати</vt:lpstr>
      <vt:lpstr>'4_3_Эл-ты панельных ограждений'!Область_печати</vt:lpstr>
      <vt:lpstr>'4_4_Модульные ограждения GL'!Область_печати</vt:lpstr>
      <vt:lpstr>'4_5_Временные огр и Рулон сетка'!Область_печати</vt:lpstr>
      <vt:lpstr>'4_6_Откатные ворота и Шлагбаумы'!Область_печати</vt:lpstr>
      <vt:lpstr>'4_7_Распашные ворота и калитки'!Область_печати</vt:lpstr>
      <vt:lpstr>'4_8_Эл-ты ограждений Locinox'!Область_печати</vt:lpstr>
      <vt:lpstr>'5_1_Гидро-пароизоляция'!Область_печати</vt:lpstr>
      <vt:lpstr>'5_2_Комплектующие'!Область_печати</vt:lpstr>
      <vt:lpstr>'5_3_Утеплители'!Область_печати</vt:lpstr>
      <vt:lpstr>'5_4_Carbon и Planter'!Область_печати</vt:lpstr>
      <vt:lpstr>'5_5_Инструменты'!Область_печати</vt:lpstr>
      <vt:lpstr>'5_6_Инструменты 2'!Область_печати</vt:lpstr>
      <vt:lpstr>'6_1_Террасная доска и Теплицы'!Область_печати</vt:lpstr>
      <vt:lpstr>'7_УПАКОВКА'!Область_печати</vt:lpstr>
      <vt:lpstr>'9_Адреса офисов'!Область_печати</vt:lpstr>
      <vt:lpstr>'Вся профилировка'!Область_печати</vt:lpstr>
      <vt:lpstr>'Ликвидация и Акции'!Область_печати</vt:lpstr>
      <vt:lpstr>'Содержание прайса'!Область_печати</vt:lpstr>
    </vt:vector>
  </TitlesOfParts>
  <Company>Grizli777</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oudovenko</dc:creator>
  <cp:lastModifiedBy>Дмитрий Ануфриев</cp:lastModifiedBy>
  <cp:lastPrinted>2018-07-24T10:52:19Z</cp:lastPrinted>
  <dcterms:created xsi:type="dcterms:W3CDTF">2018-02-15T08:40:24Z</dcterms:created>
  <dcterms:modified xsi:type="dcterms:W3CDTF">2018-07-24T13:28:47Z</dcterms:modified>
</cp:coreProperties>
</file>